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840" tabRatio="937" firstSheet="2" activeTab="7"/>
  </bookViews>
  <sheets>
    <sheet name="BDI NÃO DESONERADO" sheetId="21" r:id="rId1"/>
    <sheet name="CFF NÃO DESONERADO" sheetId="4" r:id="rId2"/>
    <sheet name="COMPOSIÇÕES NÃO DESONERADO" sheetId="27" r:id="rId3"/>
    <sheet name="ORÇAMENTO NÃO DESONERADO" sheetId="3" r:id="rId4"/>
    <sheet name="ADM.-1.-2" sheetId="16" r:id="rId5"/>
    <sheet name="PAV.-3.-4." sheetId="28" r:id="rId6"/>
    <sheet name="TERM.ROD.-5" sheetId="41" r:id="rId7"/>
    <sheet name="SERV. FINAIS.-6" sheetId="18" r:id="rId8"/>
  </sheets>
  <definedNames>
    <definedName name="_xlnm.Print_Area" localSheetId="4">'ADM.-1.-2'!$A$1:$M$56</definedName>
    <definedName name="_xlnm.Print_Area" localSheetId="0">'BDI NÃO DESONERADO'!$A$1:$I$68</definedName>
    <definedName name="_xlnm.Print_Area" localSheetId="1">'CFF NÃO DESONERADO'!$A$1:$Q$34</definedName>
    <definedName name="_xlnm.Print_Area" localSheetId="2">'COMPOSIÇÕES NÃO DESONERADO'!$A$1:$J$435</definedName>
    <definedName name="_xlnm.Print_Area" localSheetId="3">'ORÇAMENTO NÃO DESONERADO'!$A$1:$I$160</definedName>
    <definedName name="_xlnm.Print_Area" localSheetId="5">'PAV.-3.-4.'!$A$1:$K$97</definedName>
    <definedName name="_xlnm.Print_Area" localSheetId="6">'TERM.ROD.-5'!$A$1:$N$633</definedName>
    <definedName name="_xlnm.Print_Area" localSheetId="7">'SERV. FINAIS.-6'!$A$1:$N$17</definedName>
    <definedName name="_xlnm.Print_Titles" localSheetId="3">'ORÇAMENTO NÃO DESONERADO'!$1:$9</definedName>
  </definedNames>
  <calcPr calcId="152511"/>
  <extLst/>
</workbook>
</file>

<file path=xl/sharedStrings.xml><?xml version="1.0" encoding="utf-8"?>
<sst xmlns="http://schemas.openxmlformats.org/spreadsheetml/2006/main" count="3027" uniqueCount="794">
  <si>
    <t>1.1</t>
  </si>
  <si>
    <t>m³</t>
  </si>
  <si>
    <t>m²</t>
  </si>
  <si>
    <t>6.1</t>
  </si>
  <si>
    <t>6.2</t>
  </si>
  <si>
    <t>6.3</t>
  </si>
  <si>
    <t>Item</t>
  </si>
  <si>
    <t>Descrição dos Serviços</t>
  </si>
  <si>
    <t>Unid.</t>
  </si>
  <si>
    <t>Quant.</t>
  </si>
  <si>
    <t>Valor Unit.(R$)</t>
  </si>
  <si>
    <t>Valor Total(R$)</t>
  </si>
  <si>
    <t>ITEM</t>
  </si>
  <si>
    <t>DESCRIÇÃO</t>
  </si>
  <si>
    <t>1º MÊS</t>
  </si>
  <si>
    <t>2º MÊS</t>
  </si>
  <si>
    <t>3º MÊS</t>
  </si>
  <si>
    <t>4º MÊS</t>
  </si>
  <si>
    <t>TOTAL</t>
  </si>
  <si>
    <t>15 dias</t>
  </si>
  <si>
    <t>TOTAL DO MÊS (R$)</t>
  </si>
  <si>
    <t>TOTAL (%)</t>
  </si>
  <si>
    <t>ACUMULADO NO MÊS (R$)</t>
  </si>
  <si>
    <t>ACUMULADO (%)</t>
  </si>
  <si>
    <t>TOTAL DO GERAL (R$)</t>
  </si>
  <si>
    <t>%</t>
  </si>
  <si>
    <t>Valor BDI(R$)</t>
  </si>
  <si>
    <t xml:space="preserve">L= </t>
  </si>
  <si>
    <t>x</t>
  </si>
  <si>
    <t>=</t>
  </si>
  <si>
    <t>kg</t>
  </si>
  <si>
    <t>comprimento</t>
  </si>
  <si>
    <t>L=</t>
  </si>
  <si>
    <t>-</t>
  </si>
  <si>
    <t>largura</t>
  </si>
  <si>
    <t>PLACA DE OBRA EM CHAPA DE ACO GALVANIZADO</t>
  </si>
  <si>
    <t>Data Base: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</si>
  <si>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</si>
  <si>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</si>
  <si>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</si>
  <si>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</si>
  <si>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</si>
  <si>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</si>
  <si>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</si>
  <si>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</si>
  <si>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ISS</t>
  </si>
  <si>
    <t>PIS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</si>
  <si>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</si>
  <si>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</si>
  <si>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</si>
  <si>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</si>
  <si>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</si>
  <si>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</si>
  <si>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</si>
  <si>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</si>
  <si>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</si>
  <si>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</si>
  <si>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Proponente:</t>
  </si>
  <si>
    <t>Objeto:</t>
  </si>
  <si>
    <t>Endereço Da Obra:</t>
  </si>
  <si>
    <t>BDI (%):</t>
  </si>
  <si>
    <t>CONCRETO CICLOPICO FCK=10MPA 30% PEDRA DE MAO INCLUSIVE LANCAMENTO</t>
  </si>
  <si>
    <t xml:space="preserve">SERVIÇOS PRELIMINARES </t>
  </si>
  <si>
    <t>M2</t>
  </si>
  <si>
    <t>KG</t>
  </si>
  <si>
    <t>CUSTO TOTAL DA OBRA</t>
  </si>
  <si>
    <t>Comprimento</t>
  </si>
  <si>
    <t>ADMINISTRAÇÃO LOCAL</t>
  </si>
  <si>
    <t>h</t>
  </si>
  <si>
    <t>M</t>
  </si>
  <si>
    <t>m</t>
  </si>
  <si>
    <t>total</t>
  </si>
  <si>
    <t>UN.</t>
  </si>
  <si>
    <t>EXECUÇÃO DE ALMOXARIFADO EM CANTEIRO DE OBRA EM CHAPA DE MADEIRA COMPENSADA, INCLUSO PRATELEIRAS. AF_02/2016</t>
  </si>
  <si>
    <t>FABRICAÇÃO DE FÔRMA PARA PILARES E ESTRUTURAS SIMILARES, EM CHAPA DE MADEIRA COMPENSADA RESINADA, E = 17 MM. AF_12/2015</t>
  </si>
  <si>
    <t>M³</t>
  </si>
  <si>
    <t>PISO TÁTIL EM LADRILHO HIDRÁULICO DIRECIONAL E ALERTA, DIMENSÕES 20X20CM, E=2CM. INCL. PERDAS.</t>
  </si>
  <si>
    <t>M²</t>
  </si>
  <si>
    <t>FONTE</t>
  </si>
  <si>
    <t>CÓDIGO</t>
  </si>
  <si>
    <t>QUANT.</t>
  </si>
  <si>
    <t>VALOR UNITÁRIO</t>
  </si>
  <si>
    <t>VALOR TOTAL</t>
  </si>
  <si>
    <t>SINAPI</t>
  </si>
  <si>
    <t>LADRILHO HIDRAULICO, *20 X 20* CM, E= 2 CM, TATIL ALERTA OU DIRECIONAL, AMARELO</t>
  </si>
  <si>
    <t>AREIA MEDIA - POSTO JAZIDA/FORNECEDOR (RETIRADO NA JAZIDA, SEM TRANSPORTE)</t>
  </si>
  <si>
    <t>CIMENTO PORTLAND COMPOSTO CP II-32</t>
  </si>
  <si>
    <t>PEDREIRO COM ENCARGOS COMPLEMENTARES</t>
  </si>
  <si>
    <t>H</t>
  </si>
  <si>
    <t>SERVENTE COM ENCARGOS COMPLEMENTARES</t>
  </si>
  <si>
    <t>COMPOSIÇÃO 01</t>
  </si>
  <si>
    <t>UND.</t>
  </si>
  <si>
    <t>TOTAL=</t>
  </si>
  <si>
    <t>+</t>
  </si>
  <si>
    <t>A=</t>
  </si>
  <si>
    <t>Município/UF:</t>
  </si>
  <si>
    <t xml:space="preserve">Responsável Técnico:    </t>
  </si>
  <si>
    <t xml:space="preserve"> MARUZA BAPTISTA </t>
  </si>
  <si>
    <t xml:space="preserve">Registro Profissional:  </t>
  </si>
  <si>
    <t>CAU:A 28510-2/PA</t>
  </si>
  <si>
    <t xml:space="preserve">URBANIZAÇÃO </t>
  </si>
  <si>
    <t>und</t>
  </si>
  <si>
    <t>COMPOSIÇÃO 03</t>
  </si>
  <si>
    <t>SERRALHEIRO COM ENCARGOS COMPLEMENTARES</t>
  </si>
  <si>
    <t>AUXILIAR DE SERRALHEIRO COM ENCARGOS COMPLEMENTARES</t>
  </si>
  <si>
    <t>FABRICAÇÃO, MONTAGEM E DESMONTAGEM DE FÔRMA PARA SAPATA, EM MADEIRA SERRADA, E=25 MM, 4 UTILIZAÇÕES. AF_06/2017</t>
  </si>
  <si>
    <t xml:space="preserve">TOTAL= </t>
  </si>
  <si>
    <t>4.1</t>
  </si>
  <si>
    <t xml:space="preserve">FUNDAÇÃO </t>
  </si>
  <si>
    <t>PILAR</t>
  </si>
  <si>
    <t>LIXEIRA</t>
  </si>
  <si>
    <t>UNID.</t>
  </si>
  <si>
    <t>TUBO DE AÇO PRETO SEM COSTURA, CONEXÃO SOLDADA, DN 50 (2"), INSTALADO EM PRUMADAS - FORNECIMENTO E INSTALAÇÃO. AF_12/2015</t>
  </si>
  <si>
    <t>PARAFUSO M16 EM ACO GALVANIZADO, COMPRIMENTO = 125 MM, DIAMETRO = 16 MM,ROSCA MAQUINA, CABECA QUADRADA</t>
  </si>
  <si>
    <t>CHAPA DE ACO GALVANIZADA BITOLA GSG 16, E = 1,55 MM (12,40 KG/M2)</t>
  </si>
  <si>
    <t>TELA DE ARAME ONDULADA, FIO *2,77* MM (10 BWG), MALHA 5 X 5 CM, H = 2 M</t>
  </si>
  <si>
    <t>BARRA DE FERRO RETANGULAR, BARRA CHATA, 2" X 1/4" (L X E), 2,53 KG/M</t>
  </si>
  <si>
    <t>SOLDADOR COM ENCARGOS COMPLEMENTARES</t>
  </si>
  <si>
    <t>CABO DE COBRE FLEXÍVEL ISOLADO, 4 MM², ANTI-CHAMA 450/750 V, PARA CIRCUITOS TERMINAIS - FORNECIMENTO E INSTALAÇÃO. AF_12/2015</t>
  </si>
  <si>
    <t>Subtotal item 1</t>
  </si>
  <si>
    <t>Subtotal item 2</t>
  </si>
  <si>
    <t>Subtotal item 4</t>
  </si>
  <si>
    <t>2.1</t>
  </si>
  <si>
    <t>2.2</t>
  </si>
  <si>
    <t>2.3</t>
  </si>
  <si>
    <t>h/dia</t>
  </si>
  <si>
    <t>dias/mês</t>
  </si>
  <si>
    <t>duração</t>
  </si>
  <si>
    <t>H=</t>
  </si>
  <si>
    <t>5º MÊS</t>
  </si>
  <si>
    <t>6º MÊS</t>
  </si>
  <si>
    <t>7º MÊS</t>
  </si>
  <si>
    <t>PLANILHA ORÇAMENTÁRIA - NÃO DESONERADA</t>
  </si>
  <si>
    <t>COMPOSIÇÃO ANALÍTICA DA TAXA DE BENEFÍCIO E DESPESAS INDIRETAS - BDI</t>
  </si>
  <si>
    <t>MEMÓRIA DE CÁLCULO</t>
  </si>
  <si>
    <t>SINAPI - INSUMO</t>
  </si>
  <si>
    <t>SINAPI - COMPOSIÇÃO</t>
  </si>
  <si>
    <t>5.1</t>
  </si>
  <si>
    <t>5.2</t>
  </si>
  <si>
    <t>Subtotal item 6</t>
  </si>
  <si>
    <t>FABRICAÇÃO, MONTAGEM E DESMONTAGEM DE FÔRMA PARA VIGA BALDRAME, EM MADEIRA SERRADA, E=25 MM, 4 UTILIZAÇÕES. AF_06/2017</t>
  </si>
  <si>
    <t>F=</t>
  </si>
  <si>
    <t>Arranques</t>
  </si>
  <si>
    <t>comp.</t>
  </si>
  <si>
    <t>C=</t>
  </si>
  <si>
    <t>Vigas Baldrame</t>
  </si>
  <si>
    <t>INFRAESTRUTURA</t>
  </si>
  <si>
    <t>SUPERESTRUTURA</t>
  </si>
  <si>
    <t>VIGAS</t>
  </si>
  <si>
    <t>ALVENARIA</t>
  </si>
  <si>
    <t>ALVENARIA DE VEDAÇÃO DE BLOCOS CERÂMICOS FURADOS NA HORIZONTAL DE 9X19X19CM (ESPESSURA 9CM) DE PAREDES COM ÁREA LÍQUIDA MAIOR OU IGUAL A 6M²</t>
  </si>
  <si>
    <t>COBERTURA</t>
  </si>
  <si>
    <t>REVESTIMENTO</t>
  </si>
  <si>
    <t>PISO</t>
  </si>
  <si>
    <t>ESQUADRIAS</t>
  </si>
  <si>
    <t>PINTURA</t>
  </si>
  <si>
    <t>INSTALAÇÕES ELÉTRICAS</t>
  </si>
  <si>
    <t>FT=</t>
  </si>
  <si>
    <t xml:space="preserve"> </t>
  </si>
  <si>
    <t>Área</t>
  </si>
  <si>
    <t>BA=</t>
  </si>
  <si>
    <t>ARG=</t>
  </si>
  <si>
    <t>PM=</t>
  </si>
  <si>
    <t>ESCAVAÇÃO MANUAL DE VALA COM PROFUNDIDADE MENOR OU IGUAL A 1,30 M. AF_03/2016</t>
  </si>
  <si>
    <t xml:space="preserve">comprimento </t>
  </si>
  <si>
    <t>quant.</t>
  </si>
  <si>
    <t>ESTRUTURA</t>
  </si>
  <si>
    <t>LASTRO DE CONCRETO MAGRO, APLICADO EM BLOCOS DE COROAMENTO OU SAPATAS, ESPESSURA DE 5 CM. AF_08/2017</t>
  </si>
  <si>
    <t>BANCOS DE CONCRETO</t>
  </si>
  <si>
    <t>ARMAÇÃO DE ESTRUTURAS DE CONCRETO ARMADO, EXCETO VIGAS, PILARES, LAJES E FUNDAÇÕES, UTILIZANDO AÇO CA-60 DE 5,0 MM - MONTAGEM. AF_12/2015</t>
  </si>
  <si>
    <t>ARMAÇÃO DE ESTRUTURAS DE CONCRETO ARMADO, EXCETO VIGAS, PILARES, LAJES E FUNDAÇÕES, UTILIZANDO AÇO CA-50 DE 8,0 MM - MONTAGEM. AF_12/2015</t>
  </si>
  <si>
    <t>PREFEITURA MUNICIPAL DE OURÉM</t>
  </si>
  <si>
    <t>OURÉM/PA</t>
  </si>
  <si>
    <t>RUA JOAQUIM DIONISIO COM RUA PERSEVERANDO S/N. PRAÇA DO TERMINAL OURÉM/PA</t>
  </si>
  <si>
    <t>TERMINAL RODOVIARIO</t>
  </si>
  <si>
    <t>Área construida =</t>
  </si>
  <si>
    <t>C</t>
  </si>
  <si>
    <t>AREA M²</t>
  </si>
  <si>
    <t>VÃOS PORTAS</t>
  </si>
  <si>
    <t>L</t>
  </si>
  <si>
    <t>VÃOS JANELAS</t>
  </si>
  <si>
    <t>ALVENARIA TOTAL</t>
  </si>
  <si>
    <t>LUMINÁRIA TIPO CALHA, DE SOBREPOR, COM 2 LÂMPADAS TUBULARES DE 36 W - FORNECIMENTO E INSTALAÇÃO. AF_11/2017</t>
  </si>
  <si>
    <t>74130/001</t>
  </si>
  <si>
    <t>DISJUNTOR TERMOMAGNETICO MONOPOLAR PADRAO NEMA (AMERICANO) 10 A 30A 240V, FORNECIMENTO E INSTALACAO</t>
  </si>
  <si>
    <t>CURVA 90 GRAUS PARA ELETRODUTO, PVC, ROSCÁVEL, DN 25 MM (3/4"), PARA CIRCUITOS TERMINAIS, INSTALADA EM LAJE - FORNECIMENTO E INSTALAÇÃO. AF_12/2015</t>
  </si>
  <si>
    <t>CABO DE COBRE FLEXÍVEL ISOLADO, 2,5 MM², ANTI-CHAMA 450/750 V, PARA CIRCUITOS TERMINAIS - FORNECIMENTO E INSTALAÇÃO. AF_12/2015</t>
  </si>
  <si>
    <t>MOVIMENTO DE TERRA</t>
  </si>
  <si>
    <t>ESCAVAÇÃO MANUAL PARA BLOCO DE COROAMENTO OU SAPATA, COM PREVISÃO DE FÔRMA. AF_06/2017</t>
  </si>
  <si>
    <t>Sapatas</t>
  </si>
  <si>
    <t>larg.</t>
  </si>
  <si>
    <t>quant. de sapatas</t>
  </si>
  <si>
    <t>larg. viga+0,1m</t>
  </si>
  <si>
    <t>quant. de vigas</t>
  </si>
  <si>
    <t>volume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</si>
  <si>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</si>
  <si>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8,0 MM - MONTAGEM. AF_12/2015</t>
  </si>
  <si>
    <t>volume total de  escavação</t>
  </si>
  <si>
    <t>volume total de  concreto</t>
  </si>
  <si>
    <t>volume total de reaterro</t>
  </si>
  <si>
    <t>larg. Viga</t>
  </si>
  <si>
    <t>Á. Guichê</t>
  </si>
  <si>
    <t>Á. Circulação</t>
  </si>
  <si>
    <t>APLICAÇÃO MANUAL DE PINTURA COM TINTA LÁTEX ACRÍLICA EM PAREDES, DUAS DEMÃOS. AF_06/2014</t>
  </si>
  <si>
    <t>PORTA DE MADEIRA PARA PINTURA, SEMI-OCA (LEVE OU MÉDIA), 70X210CM, ESPESSURA DE 3,5CM, INCLUSO DOBRADIÇAS - FORNECIMENTO E INSTALAÇÃO. AF_08/2015</t>
  </si>
  <si>
    <t>COMPOSIÇÃO 02</t>
  </si>
  <si>
    <t>5.3</t>
  </si>
  <si>
    <t>5.4.1</t>
  </si>
  <si>
    <t>5.3.1</t>
  </si>
  <si>
    <t>5.3.2</t>
  </si>
  <si>
    <t>PILARES</t>
  </si>
  <si>
    <t>UNID</t>
  </si>
  <si>
    <t>Área Alvenaria</t>
  </si>
  <si>
    <t>DETALHAMENTO DO B.D.I. - Edificação</t>
  </si>
  <si>
    <t>DETALHAMENTO DO B.D.I. - Materiais</t>
  </si>
  <si>
    <t>4.2</t>
  </si>
  <si>
    <t>5.1.1</t>
  </si>
  <si>
    <t>5.1.2</t>
  </si>
  <si>
    <t>5.2.1</t>
  </si>
  <si>
    <t>5.2.2</t>
  </si>
  <si>
    <t>5.4</t>
  </si>
  <si>
    <t>PISO TATIL</t>
  </si>
  <si>
    <t>Subtotal item 5</t>
  </si>
  <si>
    <t>OUREM/PA</t>
  </si>
  <si>
    <t>CONSTRUÇÃO DE TERMINAL RODOVIÁRIO ETAPA-02</t>
  </si>
  <si>
    <t>CONCRETO FCK = 20MPA, TRAÇO 1:2,7:3 (CIMENTO/ AREIA MÉDIA/ BRITA 1)  - PREPARO MECÂNICO COM BETONEIRA 400 L. AF_07/2016</t>
  </si>
  <si>
    <t>M3</t>
  </si>
  <si>
    <t>UN</t>
  </si>
  <si>
    <t>LOCACAO CONVENCIONAL DE OBRA, UTILIZANDO GABARITO DE TÁBUAS CORRIDAS PONTALETADAS A CADA 2,00M -  2 UTILIZAÇÕES. AF_10/2018</t>
  </si>
  <si>
    <t>PLANTIO DE ARBUSTO OU  CERCA VIVA. AF_05/2018</t>
  </si>
  <si>
    <t>CONCRETO FCK = 15MPA, TRAÇO 1:3,4:3,5 (CIMENTO/ AREIA MÉDIA/ BRITA 1)  - PREPARO MECÂNICO COM BETONEIRA 400 L. AF_07/2016</t>
  </si>
  <si>
    <t>ARMAÇÃO DE PILAR OU VIGA DE UMA ESTRUTURA CONVENCIONAL DE CONCRETO ARMADO EM UMA EDIFICAÇÃO TÉRREA OU SOBRADO UTILIZANDO AÇO CA-50 DE 6,3 MM - MONTAGEM. AF_12/2015</t>
  </si>
  <si>
    <t xml:space="preserve">M3    </t>
  </si>
  <si>
    <t>MASSA ÚNICA, PARA RECEBIMENTO DE PINTURA, EM ARGAMASSA TRAÇO 1:2:8, PREPARO MECÂNICO COM BETONEIRA 400L, APLICADA MANUALMENTE EM FACES INTERNAS DE PAREDES, ESPESSURA DE 20MM, COM EXECUÇÃO DE TALISCAS. AF_06/2014</t>
  </si>
  <si>
    <t>APLICAÇÃO DE FUNDO SELADOR LÁTEX PVA EM PAREDES, UMA DEMÃO. AF_06/2014</t>
  </si>
  <si>
    <t xml:space="preserve">TERRA VEGETAL (GRANEL)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</si>
  <si>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PISO INDUSTRIAL ALTA RESISTENCIA, ESPESSURA 12MM, INCLUSO JUNTAS DE DILATACAO PLASTICAS E POLIMENTO MECANIZADO</t>
  </si>
  <si>
    <t>REATERRO MANUAL DE VALAS COM COMPACTAÇÃO MECANIZADA. AF_04/2016</t>
  </si>
  <si>
    <t>TELHAMENTO COM TELHA DE AÇO/ALUMÍNIO E = 0,5 MM, COM ATÉ 2 ÁGUAS, INCLUSO IÇAMENTO. AF_07/2019</t>
  </si>
  <si>
    <t xml:space="preserve">M2    </t>
  </si>
  <si>
    <t>REVESTIMENTO CERÂMICO PARA PISO COM PLACAS TIPO ESMALTADA EXTRA DE DIMENSÕES 35X35 CM APLICADA EM AMBIENTES DE ÁREA ENTRE 5 M2 E 10 M2. AF_06/2014</t>
  </si>
  <si>
    <t>FECHADURA DE EMBUTIR COM CILINDRO, EXTERNA, COMPLETA, ACABAMENTO PADRÃO MÉDIO, INCLUSO EXECUÇÃO DE FURO - FORNECIMENTO E INSTALAÇÃO. AF_08/2015</t>
  </si>
  <si>
    <t>83446</t>
  </si>
  <si>
    <t>CAIXA DE PASSAGEM 30X30X40 COM TAMPA E DRENO BRITA</t>
  </si>
  <si>
    <t xml:space="preserve">UN    </t>
  </si>
  <si>
    <t>LUMINÁRIA TIPO CALHA, DE SOBREPOR, COM 1 LÂMPADA TUBULAR DE 18 W - FORNECIMENTO E INSTALAÇÃO. AF_11/2017</t>
  </si>
  <si>
    <t>ELETRODUTO FLEXÍVEL CORRUGADO, PVC, DN 25 MM (3/4"), PARA CIRCUITOS TERMINAIS, INSTALADO EM LAJE - FORNECIMENTO E INSTALAÇÃO. AF_12/2015</t>
  </si>
  <si>
    <t xml:space="preserve">M     </t>
  </si>
  <si>
    <t>HASTE DE ATERRAMENTO 3/4  PARA SPDA - FORNECIMENTO E INSTALAÇÃO. AF_12/2017</t>
  </si>
  <si>
    <t>SINAPI-I</t>
  </si>
  <si>
    <t>3</t>
  </si>
  <si>
    <t>88316</t>
  </si>
  <si>
    <t xml:space="preserve">ACIDO MURIATICO, DILUICAO 10% A 12% PARA USO EM LIMPEZA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</si>
  <si>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COMPOSIÇÃO 04</t>
  </si>
  <si>
    <t>Altura</t>
  </si>
  <si>
    <t xml:space="preserve"> M2</t>
  </si>
  <si>
    <t>VEGETAÇÃO</t>
  </si>
  <si>
    <t>5.3.1.1</t>
  </si>
  <si>
    <t>5.3.1.2</t>
  </si>
  <si>
    <t>5.3.2.1</t>
  </si>
  <si>
    <t>5.3.2.2</t>
  </si>
  <si>
    <t>AREA DE GRAMA (M2):</t>
  </si>
  <si>
    <t>Obs.: Dados disponibilizados no quadro de áreas, no projeto arquitetonico.</t>
  </si>
  <si>
    <t>AREA</t>
  </si>
  <si>
    <t>X</t>
  </si>
  <si>
    <t>COMP.</t>
  </si>
  <si>
    <t>ALT.</t>
  </si>
  <si>
    <t>LAJE</t>
  </si>
  <si>
    <t>COMPOSIÇÃO 06</t>
  </si>
  <si>
    <t>11061</t>
  </si>
  <si>
    <t>4329</t>
  </si>
  <si>
    <t>4339</t>
  </si>
  <si>
    <t>98746</t>
  </si>
  <si>
    <t xml:space="preserve">CHAPA DE ACO GALVANIZADA BITOLA GSG 30, E = 0,35 MM (2,80 KG/M2)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</si>
  <si>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PARAFUSO EM ACO GALVANIZADO, TIPO MAQUINA, SEXTAVADO, SEM PORCA, DIAMETRO 1/2", COMPRIMENTO 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</si>
  <si>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PORCA ZINCADA, SEXTAVADA, DIAMETRO 1/2"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</si>
  <si>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SOLDA DE TOPO EM CHAPA/PERFIL/TUBO DE AÇO CHANFRADO, ESPESSURA=1/4''. AF_06/2018</t>
  </si>
  <si>
    <t xml:space="preserve">KG    </t>
  </si>
  <si>
    <t>74141/2</t>
  </si>
  <si>
    <t>LAJE PRE-MOLD BETA 12 P/3,5KN/M2 VAO 4,1M INCL VIGOTAS TIJOLOS ARMADU-RA NEGATIVA CAPEAMENTO 3CM CONCRETO 15MPA ESCORAMENTO MATERIAIS E MAO DE OBRA.</t>
  </si>
  <si>
    <t>Obs.1: Dados disponibilizados no quadro de áreas, no projeto arquitetonico.</t>
  </si>
  <si>
    <t>88423</t>
  </si>
  <si>
    <t>APLICAÇÃO MANUAL DE PINTURA COM TINTA TEXTURIZADA ACRÍLICA EM PAREDES EXTERNAS DE CASAS, UMA COR. AF_06/2014</t>
  </si>
  <si>
    <t>ALVENARIA GUICHE e DML</t>
  </si>
  <si>
    <t>COMPRIMENTO DA CALHA =</t>
  </si>
  <si>
    <t>87905</t>
  </si>
  <si>
    <t>CHAPISCO APLICADO EM ALVENARIA (COM PRESENÇA DE VÃOS) E ESTRUTURAS DE CONCRETO DE FACHADA, COM COLHER DE PEDREIRO.  ARGAMASSA TRAÇO 1:3 COM PREPARO EM BETONEIRA 400L. AF_06/2014</t>
  </si>
  <si>
    <t>ALVENARIAS</t>
  </si>
  <si>
    <t>PERIM. CHAPIS.</t>
  </si>
  <si>
    <t>lados</t>
  </si>
  <si>
    <t>Á. DML</t>
  </si>
  <si>
    <t>CALHA EM CHAPA DE AÇO GALVANIZADO NÚMERO 24, DESENVOLVIMENTO DE 100 CM, INCLUSO TRANSPORTE VERTICAL. AF_07/2019</t>
  </si>
  <si>
    <t>21013</t>
  </si>
  <si>
    <t xml:space="preserve">TUBO ACO GALVANIZADO COM COSTURA, CLASSE LEVE, DN 50 MM ( 2"),  E = 3,00 MM,  *4,40* KG/M (NBR 5580)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</si>
  <si>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20995</t>
  </si>
  <si>
    <t>21151</t>
  </si>
  <si>
    <t>21147</t>
  </si>
  <si>
    <t>40424</t>
  </si>
  <si>
    <t>90283</t>
  </si>
  <si>
    <t>96523</t>
  </si>
  <si>
    <t>96617</t>
  </si>
  <si>
    <t>96534</t>
  </si>
  <si>
    <t>96546</t>
  </si>
  <si>
    <t>94964</t>
  </si>
  <si>
    <t>96995</t>
  </si>
  <si>
    <t xml:space="preserve">TUBO ACO CARBONO SEM COSTURA 8", E= *12,70 MM, SCHEDULE 80, *64,64 KG/M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</si>
  <si>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ACO CARBONO SEM COSTURA 4", E= *6,02 MM, SCHEDULE 40, *16,06 KG/M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</si>
  <si>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ACO CARBONO SEM COSTURA 2 1/2", E = 5,16 MM, SCHEDULE 40 (8,62 KG/M)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</si>
  <si>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CHAPA DE ACO CARBONO LAMINADO A QUENTE, QUALIDADE ESTRUTURAL, BITOLA 3/16", E =4,75 MM (37,29 KG/M2)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</si>
  <si>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SOLDA DE TOPO EM CHAPA/PERFIL/TUBO DE AÇO CHANFRADO, ESPESSURA=1/2''. AF_06/2018</t>
  </si>
  <si>
    <t>GRAUTE FGK=20 MPA; TRAÇO 1:1,6:1,9 (CIMENTO/ AREIA GROSSA/ BRITA 0/ ADITIVO) - PREPARO MECÂNICO COM BETONEIRA 400 L. AF_02/2015</t>
  </si>
  <si>
    <t>LASTRO DE CONCRETO MAGRO, APLICADO EM BLOCOS DE COROAMENTO OU SAPATAS, ESPESSURA DE 3 CM. AF_08/2017</t>
  </si>
  <si>
    <t>FABRICAÇÃO, MONTAGEM E DESMONTAGEM DE FÔRMA PARA BLOCO DE COROAMENTO, EM MADEIRA SERRADA, E=25 MM, 4 UTILIZAÇÕES. AF_06/2017</t>
  </si>
  <si>
    <t>ARMAÇÃO DE BLOCO, VIGA BALDRAME OU SAPATA UTILIZANDO AÇO CA-50 DE 10 MM - MONTAGEM. AF_06/2017</t>
  </si>
  <si>
    <t>REATERRO MANUAL APILOADO COM SOQUETE. AF_10/2017</t>
  </si>
  <si>
    <t>3.1</t>
  </si>
  <si>
    <t>3.2</t>
  </si>
  <si>
    <t>CALÇADA</t>
  </si>
  <si>
    <t>4.1.1</t>
  </si>
  <si>
    <t>4.1.2</t>
  </si>
  <si>
    <t>4.2.1</t>
  </si>
  <si>
    <t>4.3</t>
  </si>
  <si>
    <t>4.3.1</t>
  </si>
  <si>
    <t>4.4</t>
  </si>
  <si>
    <t>4.4.1</t>
  </si>
  <si>
    <t>4.4.2</t>
  </si>
  <si>
    <t>4.4.3</t>
  </si>
  <si>
    <t>5</t>
  </si>
  <si>
    <t>5.2.3</t>
  </si>
  <si>
    <t>5.2.4</t>
  </si>
  <si>
    <t>5.5</t>
  </si>
  <si>
    <t>5.5.1</t>
  </si>
  <si>
    <t>5.6</t>
  </si>
  <si>
    <t>5.6.1</t>
  </si>
  <si>
    <t>5.7</t>
  </si>
  <si>
    <t>5.7.1</t>
  </si>
  <si>
    <t>5.8</t>
  </si>
  <si>
    <t>5.8.1</t>
  </si>
  <si>
    <t>5.8.2</t>
  </si>
  <si>
    <t>Subtotal item 5.8</t>
  </si>
  <si>
    <t>5.9</t>
  </si>
  <si>
    <t>5.9.1</t>
  </si>
  <si>
    <t>5.9.2</t>
  </si>
  <si>
    <t>Subtotal item 5.9</t>
  </si>
  <si>
    <t>5.10</t>
  </si>
  <si>
    <t>5.10.1</t>
  </si>
  <si>
    <t>Subtotal item 5.10</t>
  </si>
  <si>
    <t>5.11</t>
  </si>
  <si>
    <t>5.11.1</t>
  </si>
  <si>
    <t>5.12</t>
  </si>
  <si>
    <t>5.12.1</t>
  </si>
  <si>
    <t>Subtotal item 3</t>
  </si>
  <si>
    <t>Subtotal item 5.1</t>
  </si>
  <si>
    <t>Subtotal item 5.2</t>
  </si>
  <si>
    <t>Subtotal item 5.3</t>
  </si>
  <si>
    <t>Subtotal item 5.4</t>
  </si>
  <si>
    <t>Subtotal item 5.5</t>
  </si>
  <si>
    <t>Subtotal item 5.6</t>
  </si>
  <si>
    <t>Subtotal item 5.7</t>
  </si>
  <si>
    <t>Subtotal item 5.11</t>
  </si>
  <si>
    <t>Subtotal item 5.12</t>
  </si>
  <si>
    <t>ASSENTOS INTERNOS</t>
  </si>
  <si>
    <t>87795</t>
  </si>
  <si>
    <t>EMBOÇO OU MASSA ÚNICA EM ARGAMASSA INDUSTRIALIZADA, PREPARO MECÂNICO E APLICAÇÃO COM EQUIPAMENTO DE MISTURA E PROJEÇÃO DE 1,5 M3/H DE ARGAMASSA EM PANOS CEGOS DE FACHADA (SEM PRESENÇA DE VÃOS), ESPESSURA DE 25 MM. AF_06/2014</t>
  </si>
  <si>
    <t>5.9.3</t>
  </si>
  <si>
    <t>Subtotal item 5.13</t>
  </si>
  <si>
    <t>5.13</t>
  </si>
  <si>
    <t>5.13.1</t>
  </si>
  <si>
    <t>5.12.2</t>
  </si>
  <si>
    <t>5.10.2</t>
  </si>
  <si>
    <t>5.2.5</t>
  </si>
  <si>
    <t>COMPOSIÇÕES DE PREÇO UNITÁRIOS - CPU NÃO DESONERADA</t>
  </si>
  <si>
    <t>CRONOGRAMA FÍSICO-FINANCEIRO - CFF NÃO DESONERADO</t>
  </si>
  <si>
    <t>SERVIÇOS FINAIS</t>
  </si>
  <si>
    <t>indices(%)</t>
  </si>
  <si>
    <t>Obs.: Laje para cobertura do DML e do Guichê.</t>
  </si>
  <si>
    <t>• Nome da obra: 2x=0,90m.</t>
  </si>
  <si>
    <t>• Informações da obra: x=0,45m.</t>
  </si>
  <si>
    <t>• Logomarcas de órgãos e entidades: x=0,45m.</t>
  </si>
  <si>
    <t>1) Alíquota de ISS é determinado pelo Código Tributário do município.</t>
  </si>
  <si>
    <t xml:space="preserve">Repasse </t>
  </si>
  <si>
    <t>CP</t>
  </si>
  <si>
    <t>PAVIMENTAÇÃO EXTERNA</t>
  </si>
  <si>
    <t>Piso direcional:</t>
  </si>
  <si>
    <t>Somatória dos comprimentos</t>
  </si>
  <si>
    <t>Área:</t>
  </si>
  <si>
    <t>Piso alerta:</t>
  </si>
  <si>
    <t>comprimentos</t>
  </si>
  <si>
    <t>quant. de repetições</t>
  </si>
  <si>
    <t>CHAPISCO APLICADO EM ALVENARIA (SEM PRESENÇA DE VÃOS) E ESTRUTURAS DE CONCRETO DE FACHADA, COM COLHER DE PEDREIRO. ARGAMASSA TRAÇO 1:3 COM PREPARO EM BETONEIRA 400L. AF_06/2014</t>
  </si>
  <si>
    <t>LARG</t>
  </si>
  <si>
    <t>COMP</t>
  </si>
  <si>
    <t>1)</t>
  </si>
  <si>
    <t>2)</t>
  </si>
  <si>
    <t>DRENAGEM PLUVIAL</t>
  </si>
  <si>
    <t>89584</t>
  </si>
  <si>
    <t>JOELHO 90 GRAUS, PVC, SERIE R, ÁGUA PLUVIAL, DN 100 MM, JUNTA ELÁSTICA, FORNECIDO E INSTALADO EM CONDUTORES VERTICAIS DE ÁGUAS PLUVIAIS. AF_12/2014</t>
  </si>
  <si>
    <t>Comprimento total:</t>
  </si>
  <si>
    <t/>
  </si>
  <si>
    <t>SICONV</t>
  </si>
  <si>
    <t>ORÇAMENTO</t>
  </si>
  <si>
    <t>ADMINISTRAÇÃO LOCAL (ENGENHEIRO CIVIL E ENCARREGADO)</t>
  </si>
  <si>
    <t>ENGENHEIRO CIVIL DE OBRA JUNIOR COM ENCARGOS COMPLEMENTARES</t>
  </si>
  <si>
    <t>ENCARREGADO GERAL COM ENCARGOS COMPLEMENTARES</t>
  </si>
  <si>
    <t>un.</t>
  </si>
  <si>
    <t>4813</t>
  </si>
  <si>
    <t>5075</t>
  </si>
  <si>
    <t>SARRAFO DE MADEIRA NAO APARELHADA *2,5 X 7* CM, MACARANDUBA, ANGELIM OU EQUIVALENTE DA REGIAO</t>
  </si>
  <si>
    <t>PONTALETE DE MADEIRA NAO APARELHADA *7,5 X 7,5* CM (3 X 3 ") PINUS, MISTA OU EQUIVALENTE DA REGIAO</t>
  </si>
  <si>
    <t>PLACA DE OBRA (PARA CONSTRUCAO CIVIL) EM CHAPA GALVANIZADA *N. 22*, ADESIVADA, DE *2,0 X 1,125* M</t>
  </si>
  <si>
    <t>PREGO DE ACO POLIDO COM CABECA 18 X 30 (2 3/4 X 10)</t>
  </si>
  <si>
    <t>CARPINTEIRO DE FORMAS COM ENCARGOS COMPLEMENTARES</t>
  </si>
  <si>
    <t>CONCRETO MAGRO PARA LASTRO, TRAÇO 1:4,5:4,5 (CIMENTO/ AREIA MÉDIA/ BRITA 1)  - PREPARO MECÂNICO COM BETONEIRA 400 L. AF_07/2016</t>
  </si>
  <si>
    <t>8 x X = 8 x 0,45 =3,60 m</t>
  </si>
  <si>
    <t>SINAPI - JULHO DE 2020</t>
  </si>
  <si>
    <t>LASTRO DE CONCRETO MAGRO, APLICADO EM BLOCOS DE COROAMENTO OU SAPATAS. AF_08/2017</t>
  </si>
  <si>
    <t>100745</t>
  </si>
  <si>
    <t>PINTURA COM TINTA ALQUÍDICA DE ACABAMENTO (ESMALTE SINTÉTICO BRILHANTE) PULVERIZADA SOBRE SUPERFÍCIES METÁLICAS (EXCETO PERFIL) EXECUTADO EM OBRA  (POR DEMÃO). AF_01/2020</t>
  </si>
  <si>
    <t>92873</t>
  </si>
  <si>
    <t>LANÇAMENTO COM USO DE BALDES, ADENSAMENTO E ACABAMENTO DE CONCRETO EM ESTRUTURAS. AF_12/2015</t>
  </si>
  <si>
    <t>Passarela coberta</t>
  </si>
  <si>
    <t>Prédio</t>
  </si>
  <si>
    <t>COMPOSIÇÃO 07</t>
  </si>
  <si>
    <t>COMPOSIÇÃO 08</t>
  </si>
  <si>
    <t>98504</t>
  </si>
  <si>
    <t>PLANTIO DE GRAMA EM PLACAS</t>
  </si>
  <si>
    <t>Canteiro 01</t>
  </si>
  <si>
    <t>Canteiro 02</t>
  </si>
  <si>
    <t>Canteiro 03</t>
  </si>
  <si>
    <t>Canteiro 04</t>
  </si>
  <si>
    <t>Canteiro 05</t>
  </si>
  <si>
    <t>Canteiro 06</t>
  </si>
  <si>
    <t>FUNDAÇÃO</t>
  </si>
  <si>
    <t>ESTRUTURA METÁLICA</t>
  </si>
  <si>
    <t>LIXEIRA EM CESTO EM ESTRUTURA METALICA , BLOCO E APOIO EM CONCRETO - FORNECIMENTO E EXECUÇÃO</t>
  </si>
  <si>
    <t>COMPOSIÇÃO 09</t>
  </si>
  <si>
    <t>LIMPEZA FINAL DA OBRA</t>
  </si>
  <si>
    <t>UND</t>
  </si>
  <si>
    <t>COMPOSIÇÃO 10</t>
  </si>
  <si>
    <t>98562</t>
  </si>
  <si>
    <t>IMPERMEABILIZAÇÃO DE FLOREIRA OU VIGA BALDRAME COM ARGAMASSA DE CIMENTO E AREIA, COM ADITIVO IMPERMEABILIZANTE, E = 2 CM. AF_06/2018</t>
  </si>
  <si>
    <t>COMPOSIÇÃO 11</t>
  </si>
  <si>
    <t>COMPOSIÇÃO 12</t>
  </si>
  <si>
    <t>CANTEIROS ELEVADOS</t>
  </si>
  <si>
    <t>S1+S16</t>
  </si>
  <si>
    <t>S2+S3+S14+S15</t>
  </si>
  <si>
    <t>S4+S5+S12+S13</t>
  </si>
  <si>
    <t>S6+S9+S10+S11</t>
  </si>
  <si>
    <t>S7+S8</t>
  </si>
  <si>
    <t>S4c+S12c</t>
  </si>
  <si>
    <t>alt. viga+0,05(lastro)</t>
  </si>
  <si>
    <t>V1+V3</t>
  </si>
  <si>
    <t>V4+V9</t>
  </si>
  <si>
    <t>V5+V6</t>
  </si>
  <si>
    <t>V2</t>
  </si>
  <si>
    <t>V7+V8</t>
  </si>
  <si>
    <t>Espessura</t>
  </si>
  <si>
    <t>(</t>
  </si>
  <si>
    <t>)                    x</t>
  </si>
  <si>
    <t>quant. de faces</t>
  </si>
  <si>
    <t>Altura do bloco</t>
  </si>
  <si>
    <t>Sapatas + Arranques</t>
  </si>
  <si>
    <t>Circunferência =</t>
  </si>
  <si>
    <t xml:space="preserve">                     x</t>
  </si>
  <si>
    <t>Altura do pescoço</t>
  </si>
  <si>
    <t>Altura da Viga</t>
  </si>
  <si>
    <t>(AlturaBloco+Arranque+lastro)</t>
  </si>
  <si>
    <t>de sapatas</t>
  </si>
  <si>
    <t>Circunf.xAlt =</t>
  </si>
  <si>
    <t>face superior (</t>
  </si>
  <si>
    <t>96544</t>
  </si>
  <si>
    <t>ARMAÇÃO DE BLOCO, VIGA BALDRAME OU SAPATA UTILIZANDO AÇO CA-50 DE 6,3 MM - MONTAGEM. AF_06/2017</t>
  </si>
  <si>
    <t>92777</t>
  </si>
  <si>
    <t>5.2.6</t>
  </si>
  <si>
    <t>5.2.7</t>
  </si>
  <si>
    <t>5.2.8</t>
  </si>
  <si>
    <t>Blocos e arranques</t>
  </si>
  <si>
    <t>92775</t>
  </si>
  <si>
    <t>S1c+S7+S8</t>
  </si>
  <si>
    <t>S1c=S7+S8</t>
  </si>
  <si>
    <t>5.3.1.3</t>
  </si>
  <si>
    <t>5.3.1.4</t>
  </si>
  <si>
    <t>5.3.1.5</t>
  </si>
  <si>
    <t>Volume</t>
  </si>
  <si>
    <t>quant. de pilares</t>
  </si>
  <si>
    <t>Altura do pilar</t>
  </si>
  <si>
    <t>Área do Círculo=</t>
  </si>
  <si>
    <t>P1+P16</t>
  </si>
  <si>
    <t>P2+P3+P14+P15</t>
  </si>
  <si>
    <t>P4+P5+P12+P13</t>
  </si>
  <si>
    <t>P6+P9+P10+P11</t>
  </si>
  <si>
    <t>P4c+P12c</t>
  </si>
  <si>
    <t>P1c=P7+P8</t>
  </si>
  <si>
    <t>soma x 2 faces</t>
  </si>
  <si>
    <t>5.3.2.3</t>
  </si>
  <si>
    <t>5.3.2.4</t>
  </si>
  <si>
    <t>5.3.2.5</t>
  </si>
  <si>
    <t>5.3.2.6</t>
  </si>
  <si>
    <t>Laterais</t>
  </si>
  <si>
    <t>Fundos</t>
  </si>
  <si>
    <t xml:space="preserve">Vigas </t>
  </si>
  <si>
    <t>Kg</t>
  </si>
  <si>
    <t>92779</t>
  </si>
  <si>
    <t>ARMAÇÃO DE PILAR OU VIGA DE UMA ESTRUTURA CONVENCIONAL DE CONCRETO ARMADO EM UMA EDIFICAÇÃO TÉRREA OU SOBRADO UTILIZANDO AÇO CA-50 DE 12,5 MM - MONTAGEM. AF_12/2015</t>
  </si>
  <si>
    <t>5.5.1.3</t>
  </si>
  <si>
    <t xml:space="preserve">  </t>
  </si>
  <si>
    <t>5.10.3</t>
  </si>
  <si>
    <t>5.10.4</t>
  </si>
  <si>
    <t>4777</t>
  </si>
  <si>
    <t>10997</t>
  </si>
  <si>
    <t>ELETRODO REVESTIDO AWS - E7018, DIAMETRO IGUAL A 4,00 MM</t>
  </si>
  <si>
    <t>40598</t>
  </si>
  <si>
    <t>PERFIL UDC ("U" DOBRADO DE CHAPA) SIMPLES DE ACO LAMINADO, GALVANIZADO, ASTM A36, 127 X 50 MM, E= 3 MM</t>
  </si>
  <si>
    <t>88278</t>
  </si>
  <si>
    <t>MONTADOR DE ESTRUTURA METÁLICA COM ENCARGOS COMPLEMENTARES</t>
  </si>
  <si>
    <t>92258</t>
  </si>
  <si>
    <t>INSTALAÇÃO DE TESOURA (INTEIRA OU MEIA), EM AÇO, PARA VÃOS MAIORES OU IGUAIS A 10,0 M E MENORES QUE 12,0 M, INCLUSO IÇAMENTO. AF_07/2019</t>
  </si>
  <si>
    <t>10966</t>
  </si>
  <si>
    <t>COMPOSIÇÃO 05</t>
  </si>
  <si>
    <t>SINAPI INSUMO</t>
  </si>
  <si>
    <t>SINAPI - CPU</t>
  </si>
  <si>
    <t>40549</t>
  </si>
  <si>
    <t>PARAFUSO, COMUM, ASTM A307, SEXTAVADO, DIAMETRO 1/2" (12,7 MM), COMPRIMENTO 1" (25,4 MM)</t>
  </si>
  <si>
    <t>CENTO</t>
  </si>
  <si>
    <t>43083</t>
  </si>
  <si>
    <t>93281</t>
  </si>
  <si>
    <t>GUINCHO ELÉTRICO DE COLUNA, CAPACIDADE 400 KG, COM MOTO FREIO, MOTOR TRIFÁSICO DE 1,25 CV - CHP DIURNO. AF_03/2016</t>
  </si>
  <si>
    <t>CHP</t>
  </si>
  <si>
    <t>93282</t>
  </si>
  <si>
    <t>GUINCHO ELÉTRICO DE COLUNA, CAPACIDADE 400 KG, COM MOTO FREIO, MOTOR TRIFÁSICO DE 1,25 CV - CHI DIURNO. AF_03/2016</t>
  </si>
  <si>
    <t>CHI</t>
  </si>
  <si>
    <t>PERFIL "U" ENRIJECIDO DE ACO GALVANIZADO, DOBRADO, 150 X 60 X 20 MM, E = 3,00 MM OU 200 X 75 X 25 MM, E = 3,75 MM (8,64Kg/m)</t>
  </si>
  <si>
    <t>COMPOSIÇÃO 14</t>
  </si>
  <si>
    <t>1319</t>
  </si>
  <si>
    <t>CHAPA DE ACO FINA A QUENTE BITOLA MSG 3/16 ", E = 4,75 MM (38,00 KG/M2)</t>
  </si>
  <si>
    <t>COBERTURA PRÉDIO TERMINAL</t>
  </si>
  <si>
    <t>ÁREA DE EMBARQUE/DESEMBARQUE</t>
  </si>
  <si>
    <t>ESTRUTURA METALICA</t>
  </si>
  <si>
    <t>BASE</t>
  </si>
  <si>
    <t>11975</t>
  </si>
  <si>
    <t>CHUMBADOR DE ACO, DIAMETRO 5/8", COMPRIMENTO 6", COM PORCA</t>
  </si>
  <si>
    <t>4340</t>
  </si>
  <si>
    <t>PORCA ZINCADA, SEXTAVADA, DIAMETRO 5/8"</t>
  </si>
  <si>
    <t>100719</t>
  </si>
  <si>
    <t>PINTURA COM TINTA ALQUÍDICA DE FUNDO (TIPO ZARCÃO) PULVERIZADA SOBRE PERFIL METÁLICO EXECUTADO EM FÁBRICA (POR DEMÃO). AF_01/2020</t>
  </si>
  <si>
    <t>100742</t>
  </si>
  <si>
    <t>PINTURA COM TINTA ALQUÍDICA DE ACABAMENTO (ESMALTE SINTÉTICO ACETINADO) APLICADA A ROLO OU PINCEL SOBRE SUPERFÍCIES METÁLICAS (EXCETO PERFIL) EXECUTADO EM OBRA (POR DEMÃO). AF_01/2020</t>
  </si>
  <si>
    <t>PILAR, PARA SUPORTE DA COBERTURA EMBARQUE/DESEMBARQUE, METALICO CIRCULAR Ø30CM, COM 4 PROLONGAMENTOS METALICOS(PILARES) DE Ø10CM E Ø6CM, FIXADO POR CHUMBADORES EM BLOCO DE CONCRETO ESTRUTURAL, COM PINTURA ANTICORROSIVA TIPO ZACÃO E ACABAMENTO EM PINTURA ESMALTE - FORNECIMENTO E INSTALAÇÃO</t>
  </si>
  <si>
    <t>5.6.1.1</t>
  </si>
  <si>
    <t>5.6.1.2</t>
  </si>
  <si>
    <t>5.6.1.3</t>
  </si>
  <si>
    <t>5.6.2</t>
  </si>
  <si>
    <t>5.6.2.1</t>
  </si>
  <si>
    <t>5.6.2.2</t>
  </si>
  <si>
    <t>5.6.2.3</t>
  </si>
  <si>
    <t>TUBO PVC, SÉRIE R, ÁGUA PLUVIAL, DN 150 MM, FORNECIDO E INSTALADO EM CONDUTORES VERTICAIS DE ÁGUAS PLUVIAIS. AF_12/2014</t>
  </si>
  <si>
    <t>20062</t>
  </si>
  <si>
    <t>HASTE METALICA PARA FIXACAO DE CALHA PLUVIAL,  ZINCADA, DOBRADA 90 GRAUS</t>
  </si>
  <si>
    <t>91175</t>
  </si>
  <si>
    <t>FIXAÇÃO DE TUBOS VERTICAIS DE PPR DIÂMETROS MAIORES QUE 75 MM COM ABRAÇADEIRA METÁLICA RÍGIDA TIPO D 3", FIXADA EM PERFILADO EM ALVENARIA. AF_05/2015</t>
  </si>
  <si>
    <t>FIXAÇÃO DE CALHA METÁLICA E TUBULAÇÃO DE DESCIDA (VERTICAL E HORIZONTAL) EM PVC COM SUPORTES E BRAÇADEIRAS, INCLUSO PARAFUSOS - FORNECIMENTO E INSTAÇÃO</t>
  </si>
  <si>
    <t>CJ =</t>
  </si>
  <si>
    <t>1844</t>
  </si>
  <si>
    <t>CURVA LONGA PVC, PB, JE, 45 GRAUS, DN 150 MM, PARA REDE COLETORA ESGOTO (NBR 10569)</t>
  </si>
  <si>
    <t>PASSAARELA COBERTA</t>
  </si>
  <si>
    <t>40535</t>
  </si>
  <si>
    <t>PERFIL "U" SIMPLES DE ACO GALVANIZADO DOBRADO 75 X *40* MM, E = 2,65 MM (3,41Kg/m)</t>
  </si>
  <si>
    <t>cj</t>
  </si>
  <si>
    <t>m2</t>
  </si>
  <si>
    <t>PASSARELA COBERTA</t>
  </si>
  <si>
    <t>COMPOSIÇÃO 13</t>
  </si>
  <si>
    <t>COMPOSIÇÃO 15</t>
  </si>
  <si>
    <t>COMPOSIÇÃO 16</t>
  </si>
  <si>
    <t>43665</t>
  </si>
  <si>
    <t>PERFIL "U" DE ACO LAMINADO, "U" 102 X 9,3</t>
  </si>
  <si>
    <t>CONTRTAVENTAMENTO COM PERFIL "U" SIMPLES 102x40,1x4,57MM, FIXADO COM PARAFURO SEXTAVADO 1/2" EM CHAPA DE AÇO 4,75MM.</t>
  </si>
  <si>
    <t>5.6.1.4</t>
  </si>
  <si>
    <t>5.6.3</t>
  </si>
  <si>
    <t>5.6.3.1</t>
  </si>
  <si>
    <t>5.6.3.2</t>
  </si>
  <si>
    <t>5.6.4</t>
  </si>
  <si>
    <t>5.6.4.1</t>
  </si>
  <si>
    <t>5.6.4.2</t>
  </si>
  <si>
    <t>402</t>
  </si>
  <si>
    <t>GANCHO OLHAL EM ACO GALVANIZADO, ESPESSURA 16MM, ABERTURA 21MM</t>
  </si>
  <si>
    <t>43054</t>
  </si>
  <si>
    <t>ACO CA-25, 10,0 MM, OU 12,5 MM, OU 16,0 MM, OU 20,0 MM, OU 25,0 MM, VERGALHAO</t>
  </si>
  <si>
    <t>CJ</t>
  </si>
  <si>
    <t>COMPOSIÇÃO 17</t>
  </si>
  <si>
    <t>COMPOSIÇÃO 18</t>
  </si>
  <si>
    <t>5.6.1.5</t>
  </si>
  <si>
    <t>PILAR METALICO TUBULAR, DN 50MM, ESPESSURA 3,65MM, CHUMBADO EM BLOCO DE CONCRETO 20MPA NO PISO - INCLUSO MATERIAL PARA FIXAÇÃO DA VIGA E ACABAMENTO COM ZARCÃO E TINTA ESMALTE (DUAS DEMÃOS) - FONECIMENTO E INSTALAÇÃO</t>
  </si>
  <si>
    <t>VIGA METÁLICA EM PERFIL LAMINADO OU SOLDADO EM AÇO ESTRUTURAL, COM CONEXÕES PARAFUSADAS, INCLUSOS MÃO DE OBRA, TRANSPORTE E IÇAMENTO UTILIZANDO GUINDASTE - FORNECIMENTO E INSTALAÇÃO. AF_01/2020_P</t>
  </si>
  <si>
    <t>Quantidade</t>
  </si>
  <si>
    <t>kg/m</t>
  </si>
  <si>
    <t>5.5.2.1</t>
  </si>
  <si>
    <t>5.5.2.2</t>
  </si>
  <si>
    <t>LINHAS DE CORRENTE COM VERGALÃO DE 3/8" CA-25, COM ESTICADOR FORJADO GANCHO/OLHAL (ATE 92M DE EXTENSÃO) - FORNECIMENTO E INSTALAÇÃO</t>
  </si>
  <si>
    <t>LINHAS DE CORRENTE COM VERGALÃO DE 3/8" CA-25, COM ESTICADOR FORJADO GANCHO/OLHAL (ATE 47M DE EXTENSÃO) - FORNECIMENTO E INSTALAÇÃO</t>
  </si>
  <si>
    <t>COMPOSIÇÃO 19</t>
  </si>
  <si>
    <t>COMPOSIÇÃO 20</t>
  </si>
  <si>
    <t>LINHAS DE CORRENTE COM VERGALÃO DE 3/8" CA-25, COM ESTICADOR FORJADO GANCHO/OLHAL (ATE 60M DE EXTENSÃO) - FORNECIMENTO E INSTALAÇÃO</t>
  </si>
  <si>
    <t>5.6.3.3</t>
  </si>
  <si>
    <t>5.6.4.3</t>
  </si>
  <si>
    <t>565</t>
  </si>
  <si>
    <t>BARRA DE FERRO RETANGULAR, BARRA CHATA, 1" X 3/16" (L X E), 1,73 KG/M</t>
  </si>
  <si>
    <t>TRAMA DE AÇO COMPOSTA POR PEÇAS DE PERFIL "U" SIMPLES DE 127x50x3MM E 75x40x2,65MM ESTRUTURADA COM BARRA CHATA 1"x3/16" (PARA TELHADO DE 80M² P/ TELHA DE ALUMÍNIO) - CONFORME PROJETO</t>
  </si>
  <si>
    <t>TRAMA DE AÇO COMPOSTA POR PEÇAS DE PERFIL "U" SIMPLES DE 127x50x3MM E 75x40x2,65MM (PARA TELHADO DE 53M² P/ TELHA DE ALUMÍNIO) - CONFORME PROJETO</t>
  </si>
  <si>
    <t>TRAMA DE AÇO COMPOSTA POR 10 PEÇAS DE PERFIL "U" ENRIJECIDO DE 150x50x4,75MM (PARA TELHADO DE 190M² P/ TELHA DE ALUMÍNIO) - CONFORME PROJETO</t>
  </si>
  <si>
    <t>COMPOSIÇÃO 21</t>
  </si>
  <si>
    <t>CANTONEIRA ACO ABAS IGUAIS (QUALQUER BITOLA), ESPESSURA ENTRE 1/8" E 1/4" (DIAGONAIS E MONTANTES) - 1.1/4"x4,76MM (2,2KG/M)</t>
  </si>
  <si>
    <t>PERFIL "U" DE ACO LAMINADO, "U" 150 X 50 x 4,75 (8,64Kh/m) - BANZOS</t>
  </si>
  <si>
    <t>SOLDA DE TOPO EM CHAPA/PERFIL/TUBO DE AÇO CHANFRADO, ESPESSURA=1/4''. AF_06/2018 (SOLDA DAS CANTONEIRAS NOS BANZOS)  E REFORÇO NA UNIÃO DAS TRELIÇAS</t>
  </si>
  <si>
    <t>CHAPA DE ACO FINA A QUENTE BITOLA MSG 3/16 ", E = 4,75 MM (38,00 KG/M2) - REFORÇO DA UNIÃO DA TRELIÇA E CHAPA DE APOIO NA VIGA</t>
  </si>
  <si>
    <t>13279</t>
  </si>
  <si>
    <t xml:space="preserve">PARAFUSO EM ACO GALVANIZADO, TIPO MAQUINA, SEXTAVADO, SEM PORCA, DIAMETRO 1/2", COMPRIMENTO 2" ´- CHUMABAMENTO DE REFORÇO NA TRELIÇA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</si>
  <si>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CHAPA DE ACO FINA A QUENTE BITOLA MSG 3/16 ", E = 4,75 MM (38,00 KG/M2) - REFORÇO DA UNIÃO DA TRELIÇA, CHAPA DE APOIONO PILAR E CANTONEIRA DE REFORÇO NO PILAR</t>
  </si>
  <si>
    <t>CHUMBADOR DE ACO TIPO PARABOLT, * 5/8" X 300* MM,  COM PORCA E ARRUELA - CHUMBAMENTO EM VIGA</t>
  </si>
  <si>
    <t>CHUMBADOR DE ACO TIPO PARABOLT, * 5/8" X 300* MM,  COM PORCA E ARRUELA - CHUMBAMENTO NO PILAR (NA HORIZONTAL)</t>
  </si>
  <si>
    <t>CHUMBADOR DE ACO TIPO PARABOLT, * 5/8" X 200* MM,  COM PORCA E ARRUELA - CHUMBAMENTO NO PILAR (NA VERTICAL)</t>
  </si>
  <si>
    <t>TESOURA INTEIRA DE AÇO, SOBRE VIGA, DUAS ÁGUAS, 12,4M, COM TRELIÇAS COMPOSTAS POR PERFIL "U" 150x50x4,75MM E CANTONEIRAS 1.1/4"x4,76MM - FORNECIMENTO E INSTALAÇÃO (CONFORME PROJETO)</t>
  </si>
  <si>
    <t>TESOURA INTEIRA DE AÇO, SOBRE PILAR COM AUXILIO DE CANTONEIRAS EM CHAPA DE AÇO, DUAS ÁGUAS 12,4M, COMTRELIÇAS COMPOSTAS POR PERFIL U 150x50x4,75MM E CANTONEIRAS 1.1/4"x4,76MM - FORNECIMENTO E INSTALAÇÃO (CONFORME PROJETO)</t>
  </si>
  <si>
    <t>ALVENARIA TERMINAL - MURETAS</t>
  </si>
  <si>
    <t>101159</t>
  </si>
  <si>
    <t>ALVENARIA DE VEDAÇÃO DE BLOCOS CERÂMICOS MACIÇOS DE 5X10X20CM (ESPESSURA 10CM) E ARGAMASSA DE ASSENTAMENTO COM PREPARO EM BETONEIRA. AF_05/2020</t>
  </si>
  <si>
    <t>Elev.01</t>
  </si>
  <si>
    <t>Elev.03</t>
  </si>
  <si>
    <t>Elev.04</t>
  </si>
  <si>
    <t>VÃOS P/ DESCONTOS</t>
  </si>
  <si>
    <t>EMPENAS</t>
  </si>
  <si>
    <t>Elev.02</t>
  </si>
  <si>
    <t>QTD.</t>
  </si>
  <si>
    <t>P2</t>
  </si>
  <si>
    <t>P3+P14+P15</t>
  </si>
  <si>
    <t>P8</t>
  </si>
  <si>
    <t>P1c+P7</t>
  </si>
  <si>
    <t>V1</t>
  </si>
  <si>
    <t>V3</t>
  </si>
  <si>
    <t>V4</t>
  </si>
  <si>
    <t>V9</t>
  </si>
  <si>
    <t>V7</t>
  </si>
  <si>
    <t>V8</t>
  </si>
  <si>
    <t>V5</t>
  </si>
  <si>
    <t>V6</t>
  </si>
  <si>
    <t>Obs.: Mesma área calculada no item "Alvenaria", item:</t>
  </si>
  <si>
    <t>Área Total</t>
  </si>
  <si>
    <t>Divisória do Guichê</t>
  </si>
  <si>
    <t>Largura</t>
  </si>
  <si>
    <t>COMPOSIÇÃO 22</t>
  </si>
  <si>
    <t>94992</t>
  </si>
  <si>
    <t>EXECUÇÃO DE PASSEIO (CALÇADA) OU PISO DE CONCRETO COM CONCRETO MOLDADO IN LOCO, FEITO EM OBRA, ACABAMENTO CONVENCIONAL, ESPESSURA 6 CM, ARMADO. AF_07/2016</t>
  </si>
  <si>
    <t>94342</t>
  </si>
  <si>
    <t>ATERRO MANUAL DE VALAS COM AREIA PARA ATERRO E COMPACTAÇÃO MECANIZADA. AF_05/2016</t>
  </si>
  <si>
    <t>73361</t>
  </si>
  <si>
    <t>93358</t>
  </si>
  <si>
    <t>COMPOSIÇÃO 23</t>
  </si>
  <si>
    <t>COMPOSIÇÃO 24</t>
  </si>
  <si>
    <t>43143</t>
  </si>
  <si>
    <t>SELANTE ACRILICO PARA TRATAMENTO / ACABAMENTO SUPERFICIAL DE CONCRETO ESTAMPADO, APARENTE, PEDRAS E OUTROS</t>
  </si>
  <si>
    <t>SINAPI-CPU</t>
  </si>
  <si>
    <t>SINAPI-INSUMO</t>
  </si>
  <si>
    <t>BANCO EM CONCRETO ARMADO 1,95X0,5X0,45M - ACABAMENTO COM SELANTE ACRÍLICO PARA CONCRETO APARENTE</t>
  </si>
  <si>
    <t>88310</t>
  </si>
  <si>
    <t>PINTOR COM ENCARGOS COMPLEMENTARES</t>
  </si>
  <si>
    <t>ACABAMENTO</t>
  </si>
  <si>
    <t>ASSENTO DE CONCRETO 03, COM TIJOLO MACIÇO, ATERRO COMPACTADO, COMPRIMENTO 5,15M, ACABAMENTO COM SELANTE ACRÍLICO PARA CONCRETO APARENTE E PINTURA TEXTURIZADA ACRÍLICA NA ALVENARIA</t>
  </si>
  <si>
    <t>ASSENTO DE CONCRETO 02, COM TIJOLO MACIÇO, ATERRO COMPACTADO, COMPRIMENTO 5,85M, ACABAMENTO COM SELANTE ACRÍLICO PARA CONCRETO APARENTE E PINTURA TEXTURIZADA ACRÍLICA NA ALVENARIA</t>
  </si>
  <si>
    <t>ASSENTO DE CONCRETO 01, COM TIJOLO MACIÇO, ATERRO COMPACTADO, COMPRIMENTO 5,30M, ACABAMENTO COM SELANTE ACRÍLICO PARA CONCRETO APARENTE E PINTURA TEXTURIZADA ACRÍLICA NA ALVENARIA</t>
  </si>
  <si>
    <t>LASTRO DE CONCRETO MAGRO, APLICADO EM PISOS OU RADIERS, ESPESSURA DE 3 CM. AF_07/2016</t>
  </si>
  <si>
    <t>CONTRAPISO EM ARGAMASSA TRAÇO 1:4 (CIMENTO E AREIA), PREPARO MECÂNICO COM BETONEIRA 400 L, APLICADO EM ÁREAS MOLHADAS SOBRE IMPERMEABILIZAÇÃO, ESPESSURA 3CM. AF_06/2014</t>
  </si>
  <si>
    <t>COMPOSIÇÃO 25</t>
  </si>
  <si>
    <t>1379</t>
  </si>
  <si>
    <t>3671</t>
  </si>
  <si>
    <t>JUNTA PLASTICA DE DILATACAO PARA PISOS, COR CINZA, 17 X 3 MM (ALTURA X ESPESSURA)</t>
  </si>
  <si>
    <t>4824</t>
  </si>
  <si>
    <t>GRANILHA/ GRANA/ PEDRISCO OU AGREGADO EM MARMORE/ GRANITO/ QUARTZO E CALCARIO, PRETO, CINZA, PALHA OU BRANCO</t>
  </si>
  <si>
    <t>7353</t>
  </si>
  <si>
    <t>RESINA ACRILICA BASE AGUA - COR BRANCA</t>
  </si>
  <si>
    <t>88309</t>
  </si>
  <si>
    <t>95276</t>
  </si>
  <si>
    <t>POLIDORA DE PISO (POLITRIZ), PESO DE 100KG, DIÂMETRO 450 MM, MOTOR ELÉTRICO, POTÊNCIA 4 HP - CHP DIURNO. AF_09/2016</t>
  </si>
  <si>
    <t xml:space="preserve">L     </t>
  </si>
  <si>
    <t>Hall de Circulação</t>
  </si>
  <si>
    <t>Calçada 01</t>
  </si>
  <si>
    <t>Calçada 02</t>
  </si>
  <si>
    <t>Calçada 03</t>
  </si>
  <si>
    <t>Calçada 04</t>
  </si>
  <si>
    <t>JANELA DE ALUMÍNIO TIPO MAXIM-AR, COM VIDROS, BATENTE E FERRAGENS. EXCLUSIVE ALIZAR, ACABAMENTO E CONTRAMARCO. FORNECIMENTO E INSTALAÇÃO. AF_12/2019</t>
  </si>
  <si>
    <t>COMPOSIÇÃO 26</t>
  </si>
  <si>
    <t>84088</t>
  </si>
  <si>
    <t>PEITORIL EM MARMORE BRANCO, LARGURA DE 15CM, ASSENTADO COM ARGAMASSA TRACO 1:4 (CIMENTO E AREIA MEDIA), PREPARO MANUAL DA ARGAMASSA</t>
  </si>
  <si>
    <t>93187</t>
  </si>
  <si>
    <t>VERGA MOLDADA IN LOCO EM CONCRETO PARA JANELAS COM MAIS DE 1,5 M DE VÃO. AF_03/2016</t>
  </si>
  <si>
    <t>93199</t>
  </si>
  <si>
    <t>CONTRAVERGA MOLDADA IN LOCO COM UTILIZAÇÃO DE BLOCOS CANALETA PARA VÃOS DE MAIS DE 1,5 M DE COMPRIMENTO. AF_03/2016</t>
  </si>
  <si>
    <t>COMPOSIÇÃO 27</t>
  </si>
  <si>
    <t>B-2 (0,80x0,60M) - BALANCIN TIPO MAXIM-AR COM VIDROS, BATENTE E FERRAGENS. EXCLUSIVE ALIZAR, ACABAMENTO E CONTRAMARCO. INCLUSIVE PEITORIL EM MÁRMORE, 15CM, VERGA E CONTRAVERGA - FORNECIMENTO E INSTALAÇÃO. AF_12/2019</t>
  </si>
  <si>
    <t>B-1 (2,80x0,60M) - BALANCIN TIPO MAXIM-AR COM VIDROS, BATENTE E FERRAGENS. EXCLUSIVE ALIZAR, ACABAMENTO E CONTRAMARCO. INCLUSIVE PEITORIL EM MÁRMORE, 15CM, VERGA E CONTRAVERGA - FORNECIMENTO E INSTALAÇÃO. AF_12/2019</t>
  </si>
  <si>
    <t>79627</t>
  </si>
  <si>
    <t>DIVISORIA EM GRANITO BRANCO POLIDO, ESP = 3CM, ASSENTADO COM ARGAMASSA TRACO 1:4, ARREMATE EM CIMENTO BRANCO, EXCLUSIVE FERRAGENS</t>
  </si>
  <si>
    <t>B-1</t>
  </si>
  <si>
    <t>B-2</t>
  </si>
  <si>
    <t>Guichê</t>
  </si>
  <si>
    <t>DML</t>
  </si>
  <si>
    <t>PINTURA ESMALTE ACETINADO PARA MADEIRA, DUAS DEMAOS, SOBRE FUNDO NIVELADOR BRANCO</t>
  </si>
  <si>
    <t>74065/3</t>
  </si>
  <si>
    <t>APLICAÇÃO MANUAL DE MASSA ACRÍLICA EM PAREDES EXTERNAS DE CASAS, DUAS DEMÃOS. AF_05/2017</t>
  </si>
  <si>
    <t>SINAPI- INSUMO</t>
  </si>
  <si>
    <t>SINAPI- CPU</t>
  </si>
  <si>
    <t>5.11.2</t>
  </si>
  <si>
    <t>Obs.: Mesma quantidade calculada para o Serviço de Chapisco e Emboço, ítem:</t>
  </si>
  <si>
    <t>COMPOSIÇÃO 28</t>
  </si>
  <si>
    <t>COMPOSIÇÃO 29</t>
  </si>
  <si>
    <t>599</t>
  </si>
  <si>
    <t>JANELA FIXA EM ALUMINIO, 60  X 80 CM (A X L), BATENTE/REQUADRO DE 3 A 14 CM, COM VIDRO, SEM GUARNICAO/ALIZAR</t>
  </si>
  <si>
    <t>11795</t>
  </si>
  <si>
    <t>GRANITO PARA BANCADA, POLIDO, TIPO ANDORINHA/ QUARTZ/ CASTELO/ CORUMBA OU OUTROS EQUIVALENTES DA REGIAO, E=  *2,5* CM</t>
  </si>
  <si>
    <t>V-1</t>
  </si>
  <si>
    <t>Guichê-Atendimento</t>
  </si>
  <si>
    <t>4823</t>
  </si>
  <si>
    <t>MASSA PLASTICA PARA MARMORE/GRANITO</t>
  </si>
  <si>
    <t>7568</t>
  </si>
  <si>
    <t>BUCHA DE NYLON SEM ABA S10, COM PARAFUSO DE 6,10 X 65 MM EM ACO ZINCADO COM ROSCA SOBERBA, CABECA CHATA E FENDA PHILLIPS</t>
  </si>
  <si>
    <t>37329</t>
  </si>
  <si>
    <t>REJUNTE EPOXI, QUALQUER COR</t>
  </si>
  <si>
    <t>37591</t>
  </si>
  <si>
    <t>SUPORTE MAO-FRANCESA EM ACO, ABAS IGUAIS 40 CM, CAPACIDADE MINIMA 70 KG, BRANCO</t>
  </si>
  <si>
    <t>88274</t>
  </si>
  <si>
    <t>MARMORISTA/GRANITEIRO COM ENCARGOS COMPLEMENTARES</t>
  </si>
  <si>
    <t>V-1 (2,80x1,00M) - VISOR DE ATENDIMENTO DO GUICHÊ COM VIDRO, BATENTE E FERRAGENS. EXCLUSIVE ALIZAR, ACABAMENTO E CONTRAMARCO. INCLUSIVE PEITORIL (30CM) E BANCADA (40CM) DE ATENDIMENTO EM GRANITO 2,5CM, 15CM, VERGA E CONTRAVERGA - FORNECIMENTO E INSTALAÇÃO. AF_12/2019</t>
  </si>
  <si>
    <t>5.11.3</t>
  </si>
  <si>
    <t>5.11.4</t>
  </si>
  <si>
    <t>5.11.5</t>
  </si>
  <si>
    <t>5.13.2</t>
  </si>
  <si>
    <t>5.13.3</t>
  </si>
  <si>
    <t>5.13.4</t>
  </si>
  <si>
    <t>5.13.5</t>
  </si>
  <si>
    <t>5.13.6</t>
  </si>
  <si>
    <t>5.13.7</t>
  </si>
  <si>
    <t>5.13.8</t>
  </si>
  <si>
    <t>5.13.9</t>
  </si>
  <si>
    <t>5.13.10</t>
  </si>
  <si>
    <t>5.13.11</t>
  </si>
  <si>
    <t>5.13.12</t>
  </si>
  <si>
    <t>5.13.13</t>
  </si>
  <si>
    <t>5.13.14</t>
  </si>
  <si>
    <t>5.13.15</t>
  </si>
  <si>
    <t>5.13.16</t>
  </si>
  <si>
    <t>5.13.17</t>
  </si>
  <si>
    <t>5.13.18</t>
  </si>
  <si>
    <t>89173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</si>
  <si>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</si>
  <si>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91871</t>
  </si>
  <si>
    <t>ELETRODUTO RÍGIDO ROSCÁVEL, PVC, DN 25 MM (3/4"), PARA CIRCUITOS TERMINAIS, INSTALADO EM PAREDE - FORNECIMENTO E INSTALAÇÃO. AF_12/2015</t>
  </si>
  <si>
    <t>91884</t>
  </si>
  <si>
    <t>LUVA PARA ELETRODUTO, PVC, ROSCÁVEL, DN 25 MM (3/4"), PARA CIRCUITOS TERMINAIS, INSTALADA EM PAREDE - FORNECIMENTO E INSTALAÇÃO. AF_12/2015</t>
  </si>
  <si>
    <t>68066</t>
  </si>
  <si>
    <t>CAIXA DE PROTECAO PARA MEDIDOR MONOFASICO, FORNECIMENTO E INSTALACAO</t>
  </si>
  <si>
    <t>92444</t>
  </si>
  <si>
    <t>MONTAGEM E DESMONTAGEM DE FÔRMA DE PILARES RETANGULARES E ESTRUTURAS SIMILARES COM ÁREA MÉDIA DAS SEÇÕES MENOR OU IGUAL A 0,25 M², PÉ-DIREITO DUPLO, EM CHAPA DE MADEIRA COMPENSADA PLASTIFICADA, 18 UTILIZAÇÕES. AF_12/2015</t>
  </si>
  <si>
    <t>MONTAGEM E DESMONTAGEM DE FÔRMA DE VIGA, ESCORAMENTO COM GARFO DE MADEIRA, PÉ-DIREITO SIMPLES, EM CHAPA DE MADEIRA PLASTIFICADA, 18 UTILIZAÇÕES. AF_12/2015</t>
  </si>
  <si>
    <t>94990</t>
  </si>
  <si>
    <t>EXECUÇÃO DE PASSEIO (CALÇADA) OU PISO DE CONCRETO COM CONCRETO MOLDADO IN LOCO, FEITO EM OBRA, ACABAMENTO CONVENCIONAL, NÃO ARMADO. AF_07/2016</t>
  </si>
  <si>
    <t>Áreas de calçada</t>
  </si>
  <si>
    <t>98557</t>
  </si>
  <si>
    <t>IMPERMEABILIZAÇÃO DE SUPERFÍCIE COM EMULSÃO ASFÁLTICA, 2 DEMÃOS AF_06/2018</t>
  </si>
  <si>
    <t>5.7.2</t>
  </si>
  <si>
    <t>Obs.2: Dentro dos quantitativos apresentados, já estão inclusos tambem os valores para rampas.</t>
  </si>
  <si>
    <t xml:space="preserve">Passarela </t>
  </si>
  <si>
    <t>Coberta</t>
  </si>
  <si>
    <t>Descontado área</t>
  </si>
  <si>
    <t>sobreposição da calçada 4</t>
  </si>
  <si>
    <t>80,10-(2,34x4,15)</t>
  </si>
  <si>
    <t>Convênio nº:</t>
  </si>
  <si>
    <t>875159/2018</t>
  </si>
  <si>
    <t>IMPERMEABILIZAÇÃO DE FLOREIRA OU VIGA BALDRAME COM ARGAMASSA DE CIMENTO E AREIA, COM ADITIVO IMPERMEABILIZANTE, E = 2 CM. AF_06/2018 - ALVENARIA INTERNO</t>
  </si>
  <si>
    <t>IMPERMEABILIZAÇÃO DE FLOREIRA OU VIGA BALDRAME COM ARGAMASSA DE CIMENTO E AREIA, COM ADITIVO IMPERMEABILIZANTE, E = 2 CM. AF_06/2018  - ALVENARIA INTERNO</t>
  </si>
  <si>
    <t>CANTEIRO ELEVADO PARA FLOREIRA - TIPO 1 - SOBRE VIGA BALDRAME DA EDIFICAÇÃO, COM ALVENARIA EM TIJOLOS CERÂMICOS MACIÇOS DE ESPESSURA 10CM IMPERMEABILIZADOS PELO LADO INTERNO, CHAPISCO, EMBOÇO, SELADOR E PINTURA TEXTURIZADA ACRÍLICA - INCLUSO TERRA VEGETAL</t>
  </si>
  <si>
    <t>CANTEIRO ELEVADO PARA FLOREIRA - TIPO 2 - COM BALDRAMEEM CONCRETO CICLÓPICO IMPERMEABILIZADO, ALVENARIA EM TIJOLOS CERÂMICOS MACIÇOS DE ESPESSURA 10CM IMPERMEABILIZADOS PELO LADO INTERNO, CHAPISCO, EMBOÇO, SELADOR E PINTURA TEXTURIZADA ACRÍLICA - INCLUSO TERRA VEGETAL</t>
  </si>
  <si>
    <t>CANTEIRO ELEVADO PARA FLOREIRA - TIPO 3 - COM BALDRAMEEM CONCRETO CICLÓPICO IMPERMEABILIZADO, ALVENARIA EM TIJOLOS CERÂMICOS MACIÇOS DE ESPESSURA 10CM IMPERMEABILIZADOS PELO LADO INTERNO, CHAPISCO, EMBOÇO, SELADOR E PINTURA TEXTURIZADA ACRÍLICA - INCLUSO TERRA VEGETAL</t>
  </si>
  <si>
    <t>P1 (70X210CM) - PORTA DE MADEIRA PARA PINTURA, SEMI-OCA (LEVE OU MÉDIA), ESPESSURA DE 3,5CM, INCLUSO DOBRADIÇAS, FECHADURA COM CILINDRO COMPLETA, APLICAÇÃO DE MASSA ACRÍLICA (DUAS DEMÃOS), PINTURA ESMALTE ACETINADO E FUNDO NIVELADOR (DUAS DEMÃOS) - FORNECIMENTO E INSTALAÇÃO (INCLUI VERGA) AF_08/2015</t>
  </si>
  <si>
    <t>91939</t>
  </si>
  <si>
    <t>CAIXA RETANGULAR 4" X 2" ALTA (2,00 M DO PISO), PVC, INSTALADA EM PAREDE - FORNECIMENTO E INSTALAÇÃO. AF_12/2015</t>
  </si>
  <si>
    <r>
      <rPr>
        <b/>
        <sz val="11"/>
        <rFont val="Arial"/>
        <family val="2"/>
      </rPr>
      <t xml:space="preserve">Cálculo para o tamanho da placa: </t>
    </r>
    <r>
      <rPr>
        <sz val="11"/>
        <rFont val="Arial"/>
        <family val="2"/>
      </rPr>
      <t xml:space="preserve">definir a base “X” dividindo </t>
    </r>
  </si>
  <si>
    <t>a altura estabelecida para a placa por 4.</t>
  </si>
  <si>
    <t>X =1,80/4 = 0,45 m</t>
  </si>
  <si>
    <t>A altura de cada área da placa será assim definida:</t>
  </si>
  <si>
    <t>Numa placa com altura de 1,80 m, por exemplo:</t>
  </si>
  <si>
    <t>91996</t>
  </si>
  <si>
    <t>TOMADA MÉDIA DE EMBUTIR (1 MÓDULO), 2P+T 10 A, INCLUINDO SUPORTE E PLACA - FORNECIMENTO E INSTALAÇÃO. AF_12/2015</t>
  </si>
  <si>
    <t>INTERRUPTOR SIMPLES (2 MÓDULOS), 10A/250V, INCLUINDO SUPORTE E PLACA - FORNECIMENTO E INSTALAÇÃO. AF_12/2015</t>
  </si>
  <si>
    <t>INTERRUPTOR SIMPLES (1 MÓDULO) COM 1 TOMADA DE EMBUTIR 2P+T 10 A,  INCLUINDO SUPORTE E PLACA - FORNECIMENTO E INSTALAÇÃO. AF_12/2015</t>
  </si>
  <si>
    <t>QUADRO DE DISTRIBUICAO DE ENERGIA EM CHAPA DE ACO GALVANIZADO, PARA 12 DISJUNTORES TERMOMAGNETICOS MONOPOLARES, COM BARRAMENTO TRIFASICO E NEUTRO - FORNECIMENTO E INSTALACAO</t>
  </si>
  <si>
    <t>SUPORTE PARA ELETROCALHA LISA OU PERFURADA EM AÇO GALVANIZADO, LARGURA 200 OU 400 MM E ALTURA 50 MM, ESPAÇADO A CADA 1,5 M, EM PERFILADO DE SEÇÃO 38X76 MM, POR METRO DE ELETRECOLHA FIXADA. AF_07/2017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</si>
</sst>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;[Red]&quot;-R$ &quot;#,##0.00"/>
    <numFmt numFmtId="166" formatCode="#,##0.000;[Red]\-#,##0.000"/>
    <numFmt numFmtId="167" formatCode="_(&quot;R$ &quot;* #,##0.00_);_(&quot;R$ &quot;* \(#,##0.00\);_(&quot;R$ &quot;* &quot;-&quot;??_);_(@_)"/>
    <numFmt numFmtId="168" formatCode="0.00000"/>
    <numFmt numFmtId="169" formatCode="&quot;R$&quot;\ #,##0.00"/>
    <numFmt numFmtId="170" formatCode="_([$€]* #,##0.00_);_([$€]* \(#,##0.00\);_([$€]* &quot;-&quot;??_);_(@_)"/>
    <numFmt numFmtId="171" formatCode="#,##0.00;#,##0.00"/>
    <numFmt numFmtId="172" formatCode="###0.0;###0.0"/>
    <numFmt numFmtId="173" formatCode="_(&quot;R$&quot;* #,##0.00_);_(&quot;R$&quot;* \(#,##0.00\);_(&quot;R$&quot;* &quot;-&quot;??_);_(@_)"/>
    <numFmt numFmtId="174" formatCode="_-[$R$-416]\ * #,##0.00_-;\-[$R$-416]\ * #,##0.00_-;_-[$R$-416]\ * &quot;-&quot;??_-;_-@_-"/>
    <numFmt numFmtId="175" formatCode="0.000"/>
    <numFmt numFmtId="176" formatCode="[$-416]mmmm\-yy;@"/>
    <numFmt numFmtId="177" formatCode="&quot;R$ &quot;#,##0.00_);\(&quot;R$ &quot;#,##0.00\)"/>
    <numFmt numFmtId="178" formatCode="0.0%"/>
    <numFmt numFmtId="179" formatCode="_(* #,##0.000_);_(* \(#,##0.000\);_(* &quot;-&quot;??_);_(@_)"/>
    <numFmt numFmtId="180" formatCode="_([$€]* #,##0.0000_);_([$€]* \(#,##0.0000\);_([$€]* &quot;-&quot;??_);_(@_)"/>
    <numFmt numFmtId="181" formatCode="_-* #,##0.00\ [$€-803]_-;\-* #,##0.00\ [$€-803]_-;_-* &quot;-&quot;??\ [$€-803]_-;_-@_-"/>
    <numFmt numFmtId="182" formatCode="#,##0.0;[Red]\-#,##0.0"/>
    <numFmt numFmtId="183" formatCode="0.0000"/>
  </numFmts>
  <fonts count="3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8"/>
      <color theme="1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i/>
      <sz val="11"/>
      <color theme="1"/>
      <name val="Arial"/>
      <family val="2"/>
    </font>
    <font>
      <b/>
      <sz val="10"/>
      <color rgb="FF000000"/>
      <name val="Times New Roman"/>
      <family val="2"/>
    </font>
    <font>
      <u val="single"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theme="1"/>
      <name val="Arial"/>
      <family val="2"/>
      <scheme val="minor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/>
      <right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 style="thin"/>
      <top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/>
      <right style="medium">
        <color indexed="8"/>
      </right>
      <top/>
      <bottom/>
    </border>
    <border>
      <left style="medium">
        <color indexed="8"/>
      </left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 style="thin">
        <color indexed="8"/>
      </left>
      <right/>
      <top style="hair">
        <color indexed="8"/>
      </top>
      <bottom/>
    </border>
    <border>
      <left style="thin"/>
      <right style="thin">
        <color indexed="8"/>
      </right>
      <top style="hair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/>
      <top style="thin"/>
      <bottom style="hair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6">
    <xf numFmtId="17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>
      <alignment/>
      <protection/>
    </xf>
    <xf numFmtId="167" fontId="0" fillId="0" borderId="0" applyFont="0" applyFill="0" applyBorder="0" applyAlignment="0" applyProtection="0"/>
    <xf numFmtId="170" fontId="0" fillId="0" borderId="0">
      <alignment/>
      <protection/>
    </xf>
    <xf numFmtId="170" fontId="5" fillId="0" borderId="0">
      <alignment/>
      <protection/>
    </xf>
    <xf numFmtId="170" fontId="6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44" fontId="0" fillId="0" borderId="0" applyFont="0" applyFill="0" applyBorder="0" applyAlignment="0" applyProtection="0"/>
    <xf numFmtId="170" fontId="0" fillId="0" borderId="0">
      <alignment/>
      <protection/>
    </xf>
    <xf numFmtId="173" fontId="0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8" fillId="0" borderId="0">
      <alignment/>
      <protection/>
    </xf>
    <xf numFmtId="170" fontId="8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9" fontId="0" fillId="0" borderId="0" applyFont="0" applyFill="0" applyBorder="0" applyAlignment="0" quotePrefix="1">
      <protection locked="0"/>
    </xf>
    <xf numFmtId="9" fontId="0" fillId="0" borderId="0" applyFont="0" applyFill="0" applyBorder="0" applyAlignment="0" quotePrefix="1">
      <protection locked="0"/>
    </xf>
    <xf numFmtId="9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quotePrefix="1">
      <protection locked="0"/>
    </xf>
    <xf numFmtId="43" fontId="0" fillId="0" borderId="0" applyFont="0" applyFill="0" applyBorder="0" applyAlignment="0" quotePrefix="1">
      <protection locked="0"/>
    </xf>
    <xf numFmtId="164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44" fontId="15" fillId="0" borderId="0" applyFon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27">
    <xf numFmtId="170" fontId="0" fillId="0" borderId="0" xfId="0"/>
    <xf numFmtId="40" fontId="2" fillId="2" borderId="0" xfId="0" applyNumberFormat="1" applyFont="1" applyFill="1" applyAlignment="1">
      <alignment horizontal="center"/>
    </xf>
    <xf numFmtId="170" fontId="0" fillId="0" borderId="0" xfId="0" applyFont="1" applyAlignment="1">
      <alignment vertical="center" wrapText="1"/>
    </xf>
    <xf numFmtId="170" fontId="0" fillId="0" borderId="0" xfId="0" applyBorder="1"/>
    <xf numFmtId="170" fontId="0" fillId="2" borderId="0" xfId="0" applyFont="1" applyFill="1" applyBorder="1"/>
    <xf numFmtId="170" fontId="0" fillId="0" borderId="0" xfId="0" applyFont="1"/>
    <xf numFmtId="170" fontId="0" fillId="2" borderId="0" xfId="0" applyFont="1" applyFill="1"/>
    <xf numFmtId="170" fontId="0" fillId="0" borderId="0" xfId="0" applyAlignment="1">
      <alignment horizontal="center"/>
    </xf>
    <xf numFmtId="176" fontId="4" fillId="3" borderId="0" xfId="31" applyNumberFormat="1" applyFont="1" applyFill="1" applyBorder="1" applyAlignment="1">
      <alignment vertical="center" wrapText="1"/>
      <protection/>
    </xf>
    <xf numFmtId="170" fontId="14" fillId="4" borderId="0" xfId="31" applyFont="1" applyFill="1" applyBorder="1" applyAlignment="1">
      <alignment vertical="center"/>
      <protection/>
    </xf>
    <xf numFmtId="170" fontId="4" fillId="3" borderId="0" xfId="31" applyFont="1" applyFill="1" applyBorder="1" applyAlignment="1">
      <alignment vertical="center"/>
      <protection/>
    </xf>
    <xf numFmtId="0" fontId="4" fillId="3" borderId="0" xfId="31" applyNumberFormat="1" applyFont="1" applyFill="1" applyBorder="1" applyAlignment="1">
      <alignment vertical="center"/>
      <protection/>
    </xf>
    <xf numFmtId="174" fontId="4" fillId="3" borderId="0" xfId="0" applyNumberFormat="1" applyFont="1" applyFill="1" applyBorder="1" applyAlignment="1" applyProtection="1">
      <alignment vertical="center" wrapText="1"/>
      <protection/>
    </xf>
    <xf numFmtId="170" fontId="4" fillId="5" borderId="1" xfId="31" applyFont="1" applyFill="1" applyBorder="1" applyAlignment="1">
      <alignment horizontal="left" vertical="center"/>
      <protection/>
    </xf>
    <xf numFmtId="170" fontId="13" fillId="0" borderId="0" xfId="0" applyFont="1" applyBorder="1"/>
    <xf numFmtId="40" fontId="13" fillId="6" borderId="2" xfId="0" applyNumberFormat="1" applyFont="1" applyFill="1" applyBorder="1" applyAlignment="1">
      <alignment horizontal="center"/>
    </xf>
    <xf numFmtId="40" fontId="13" fillId="6" borderId="3" xfId="0" applyNumberFormat="1" applyFont="1" applyFill="1" applyBorder="1" applyAlignment="1">
      <alignment horizontal="center"/>
    </xf>
    <xf numFmtId="40" fontId="13" fillId="6" borderId="4" xfId="0" applyNumberFormat="1" applyFont="1" applyFill="1" applyBorder="1" applyAlignment="1">
      <alignment horizontal="center"/>
    </xf>
    <xf numFmtId="40" fontId="13" fillId="0" borderId="0" xfId="0" applyNumberFormat="1" applyFont="1" applyFill="1" applyBorder="1" applyAlignment="1">
      <alignment horizontal="center"/>
    </xf>
    <xf numFmtId="170" fontId="13" fillId="0" borderId="5" xfId="0" applyFont="1" applyBorder="1"/>
    <xf numFmtId="170" fontId="13" fillId="0" borderId="0" xfId="0" applyFont="1" applyBorder="1" applyAlignment="1">
      <alignment/>
    </xf>
    <xf numFmtId="170" fontId="13" fillId="0" borderId="0" xfId="0" applyFont="1" applyFill="1" applyBorder="1" applyAlignment="1">
      <alignment/>
    </xf>
    <xf numFmtId="40" fontId="13" fillId="6" borderId="6" xfId="0" applyNumberFormat="1" applyFont="1" applyFill="1" applyBorder="1" applyAlignment="1">
      <alignment horizontal="center"/>
    </xf>
    <xf numFmtId="40" fontId="13" fillId="6" borderId="7" xfId="0" applyNumberFormat="1" applyFont="1" applyFill="1" applyBorder="1" applyAlignment="1">
      <alignment horizontal="center"/>
    </xf>
    <xf numFmtId="170" fontId="13" fillId="0" borderId="0" xfId="0" applyFont="1"/>
    <xf numFmtId="170" fontId="4" fillId="0" borderId="0" xfId="0" applyFont="1" applyAlignment="1">
      <alignment horizontal="center"/>
    </xf>
    <xf numFmtId="170" fontId="13" fillId="0" borderId="0" xfId="0" applyFont="1" applyAlignment="1">
      <alignment horizontal="center"/>
    </xf>
    <xf numFmtId="43" fontId="13" fillId="0" borderId="0" xfId="0" applyNumberFormat="1" applyFont="1" applyAlignment="1">
      <alignment vertical="center" wrapText="1"/>
    </xf>
    <xf numFmtId="170" fontId="13" fillId="0" borderId="0" xfId="0" applyFont="1" applyAlignment="1">
      <alignment vertical="center" wrapText="1"/>
    </xf>
    <xf numFmtId="9" fontId="13" fillId="0" borderId="0" xfId="21" applyFont="1" applyAlignment="1">
      <alignment vertical="center" wrapText="1"/>
    </xf>
    <xf numFmtId="9" fontId="13" fillId="3" borderId="0" xfId="21" applyFont="1" applyFill="1" applyAlignment="1">
      <alignment vertical="center" wrapText="1"/>
    </xf>
    <xf numFmtId="170" fontId="13" fillId="3" borderId="0" xfId="0" applyFont="1" applyFill="1" applyAlignment="1">
      <alignment vertical="center" wrapText="1"/>
    </xf>
    <xf numFmtId="170" fontId="13" fillId="0" borderId="0" xfId="0" applyFont="1" applyFill="1" applyAlignment="1">
      <alignment vertical="center" wrapText="1"/>
    </xf>
    <xf numFmtId="169" fontId="13" fillId="0" borderId="0" xfId="0" applyNumberFormat="1" applyFont="1" applyFill="1" applyAlignment="1">
      <alignment vertical="center" wrapText="1"/>
    </xf>
    <xf numFmtId="170" fontId="4" fillId="5" borderId="1" xfId="31" applyFont="1" applyFill="1" applyBorder="1" applyAlignment="1">
      <alignment vertical="center"/>
      <protection/>
    </xf>
    <xf numFmtId="170" fontId="4" fillId="0" borderId="0" xfId="31" applyFont="1" applyFill="1" applyBorder="1" applyAlignment="1">
      <alignment horizontal="left" vertical="center" wrapText="1"/>
      <protection/>
    </xf>
    <xf numFmtId="0" fontId="4" fillId="0" borderId="0" xfId="31" applyNumberFormat="1" applyFont="1" applyFill="1" applyBorder="1" applyAlignment="1">
      <alignment horizontal="left" vertical="center" wrapText="1"/>
      <protection/>
    </xf>
    <xf numFmtId="174" fontId="4" fillId="0" borderId="0" xfId="0" applyNumberFormat="1" applyFont="1" applyFill="1" applyBorder="1" applyAlignment="1" applyProtection="1">
      <alignment horizontal="center" vertical="center" wrapText="1"/>
      <protection/>
    </xf>
    <xf numFmtId="174" fontId="4" fillId="0" borderId="0" xfId="0" applyNumberFormat="1" applyFont="1" applyFill="1" applyBorder="1" applyAlignment="1" applyProtection="1">
      <alignment horizontal="left" vertical="center" wrapText="1"/>
      <protection/>
    </xf>
    <xf numFmtId="174" fontId="4" fillId="0" borderId="0" xfId="0" applyNumberFormat="1" applyFont="1" applyFill="1" applyBorder="1" applyAlignment="1" applyProtection="1">
      <alignment vertical="center" wrapText="1"/>
      <protection/>
    </xf>
    <xf numFmtId="170" fontId="13" fillId="0" borderId="8" xfId="0" applyFont="1" applyBorder="1"/>
    <xf numFmtId="170" fontId="0" fillId="0" borderId="0" xfId="0" applyFont="1" applyFill="1" applyBorder="1" applyAlignment="1">
      <alignment vertical="center" wrapText="1"/>
    </xf>
    <xf numFmtId="170" fontId="13" fillId="0" borderId="0" xfId="0" applyFont="1" applyFill="1" applyBorder="1" applyAlignment="1">
      <alignment vertical="center" wrapText="1"/>
    </xf>
    <xf numFmtId="170" fontId="4" fillId="5" borderId="0" xfId="24" applyFont="1" applyFill="1" applyBorder="1" applyAlignment="1">
      <alignment vertical="center"/>
      <protection/>
    </xf>
    <xf numFmtId="170" fontId="10" fillId="0" borderId="0" xfId="24" applyFont="1" applyFill="1" applyBorder="1" applyAlignment="1">
      <alignment horizontal="left" vertical="top"/>
      <protection/>
    </xf>
    <xf numFmtId="170" fontId="13" fillId="0" borderId="0" xfId="0" applyFont="1" applyFill="1" applyBorder="1" applyAlignment="1">
      <alignment horizontal="left" vertical="top"/>
    </xf>
    <xf numFmtId="170" fontId="4" fillId="0" borderId="0" xfId="24" applyFont="1" applyFill="1" applyBorder="1" applyAlignment="1">
      <alignment horizontal="center" vertical="top"/>
      <protection/>
    </xf>
    <xf numFmtId="170" fontId="4" fillId="3" borderId="0" xfId="24" applyFont="1" applyFill="1" applyBorder="1" applyAlignment="1">
      <alignment vertical="center"/>
      <protection/>
    </xf>
    <xf numFmtId="170" fontId="12" fillId="0" borderId="0" xfId="24" applyFont="1" applyFill="1" applyBorder="1" applyAlignment="1">
      <alignment horizontal="center" vertical="top"/>
      <protection/>
    </xf>
    <xf numFmtId="170" fontId="10" fillId="0" borderId="0" xfId="24" applyFont="1" applyFill="1" applyBorder="1" applyAlignment="1">
      <alignment horizontal="center" vertical="top"/>
      <protection/>
    </xf>
    <xf numFmtId="170" fontId="13" fillId="0" borderId="0" xfId="0" applyFont="1" applyFill="1" applyBorder="1" applyAlignment="1">
      <alignment horizontal="center" vertical="top"/>
    </xf>
    <xf numFmtId="2" fontId="12" fillId="0" borderId="0" xfId="24" applyNumberFormat="1" applyFont="1" applyFill="1" applyBorder="1" applyAlignment="1">
      <alignment horizontal="center" vertical="top"/>
      <protection/>
    </xf>
    <xf numFmtId="170" fontId="12" fillId="0" borderId="0" xfId="24" applyFont="1" applyFill="1" applyBorder="1" applyAlignment="1">
      <alignment horizontal="left" vertical="top"/>
      <protection/>
    </xf>
    <xf numFmtId="2" fontId="13" fillId="0" borderId="0" xfId="0" applyNumberFormat="1" applyFont="1" applyFill="1" applyBorder="1" applyAlignment="1">
      <alignment horizontal="center" vertical="top"/>
    </xf>
    <xf numFmtId="2" fontId="13" fillId="0" borderId="0" xfId="24" applyNumberFormat="1" applyFont="1" applyFill="1" applyBorder="1" applyAlignment="1">
      <alignment horizontal="center" vertical="top"/>
      <protection/>
    </xf>
    <xf numFmtId="170" fontId="13" fillId="0" borderId="0" xfId="24" applyFont="1" applyFill="1" applyBorder="1" applyAlignment="1">
      <alignment horizontal="left" vertical="top"/>
      <protection/>
    </xf>
    <xf numFmtId="171" fontId="10" fillId="0" borderId="0" xfId="24" applyNumberFormat="1" applyFont="1" applyFill="1" applyBorder="1" applyAlignment="1">
      <alignment horizontal="center" vertical="top"/>
      <protection/>
    </xf>
    <xf numFmtId="170" fontId="11" fillId="0" borderId="0" xfId="0" applyFont="1" applyBorder="1" applyAlignment="1">
      <alignment horizontal="center"/>
    </xf>
    <xf numFmtId="170" fontId="4" fillId="0" borderId="0" xfId="24" applyFont="1" applyFill="1" applyBorder="1" applyAlignment="1">
      <alignment horizontal="right"/>
      <protection/>
    </xf>
    <xf numFmtId="170" fontId="4" fillId="0" borderId="0" xfId="24" applyFont="1" applyFill="1" applyBorder="1" applyAlignment="1">
      <alignment/>
      <protection/>
    </xf>
    <xf numFmtId="170" fontId="4" fillId="0" borderId="0" xfId="24" applyFont="1" applyFill="1" applyBorder="1" applyAlignment="1">
      <alignment horizontal="center"/>
      <protection/>
    </xf>
    <xf numFmtId="8" fontId="4" fillId="0" borderId="0" xfId="24" applyNumberFormat="1" applyFont="1" applyFill="1" applyBorder="1" applyAlignment="1">
      <alignment horizontal="center"/>
      <protection/>
    </xf>
    <xf numFmtId="8" fontId="13" fillId="0" borderId="0" xfId="24" applyNumberFormat="1" applyFont="1" applyFill="1" applyBorder="1" applyAlignment="1">
      <alignment horizontal="right"/>
      <protection/>
    </xf>
    <xf numFmtId="170" fontId="13" fillId="0" borderId="0" xfId="24" applyFont="1" applyFill="1" applyBorder="1" applyAlignment="1">
      <alignment horizontal="center" wrapText="1"/>
      <protection/>
    </xf>
    <xf numFmtId="170" fontId="13" fillId="0" borderId="0" xfId="0" applyFont="1" applyFill="1" applyBorder="1" applyAlignment="1">
      <alignment wrapText="1"/>
    </xf>
    <xf numFmtId="2" fontId="13" fillId="0" borderId="0" xfId="24" applyNumberFormat="1" applyFont="1" applyFill="1" applyBorder="1" applyAlignment="1">
      <alignment horizontal="center" vertical="center"/>
      <protection/>
    </xf>
    <xf numFmtId="8" fontId="13" fillId="0" borderId="0" xfId="24" applyNumberFormat="1" applyFont="1" applyFill="1" applyBorder="1" applyAlignment="1">
      <alignment horizontal="right" vertical="center"/>
      <protection/>
    </xf>
    <xf numFmtId="170" fontId="13" fillId="0" borderId="0" xfId="24" applyFont="1" applyFill="1" applyBorder="1" applyAlignment="1">
      <alignment vertical="center" wrapText="1"/>
      <protection/>
    </xf>
    <xf numFmtId="170" fontId="13" fillId="0" borderId="0" xfId="24" applyFont="1" applyFill="1" applyBorder="1" applyAlignment="1">
      <alignment horizontal="center" vertical="center"/>
      <protection/>
    </xf>
    <xf numFmtId="170" fontId="13" fillId="0" borderId="0" xfId="24" applyFont="1" applyFill="1" applyBorder="1" applyAlignment="1">
      <alignment horizontal="center"/>
      <protection/>
    </xf>
    <xf numFmtId="170" fontId="13" fillId="0" borderId="0" xfId="24" applyFont="1" applyFill="1" applyBorder="1" applyAlignment="1">
      <alignment horizontal="left" vertical="center"/>
      <protection/>
    </xf>
    <xf numFmtId="170" fontId="13" fillId="0" borderId="0" xfId="24" applyFont="1" applyFill="1" applyBorder="1" applyAlignment="1">
      <alignment horizontal="right"/>
      <protection/>
    </xf>
    <xf numFmtId="8" fontId="4" fillId="0" borderId="0" xfId="24" applyNumberFormat="1" applyFont="1" applyFill="1" applyBorder="1" applyAlignment="1">
      <alignment horizontal="center" vertical="center"/>
      <protection/>
    </xf>
    <xf numFmtId="8" fontId="4" fillId="0" borderId="0" xfId="24" applyNumberFormat="1" applyFont="1" applyFill="1" applyBorder="1" applyAlignment="1">
      <alignment horizontal="right"/>
      <protection/>
    </xf>
    <xf numFmtId="170" fontId="13" fillId="0" borderId="0" xfId="0" applyFont="1" applyFill="1" applyBorder="1"/>
    <xf numFmtId="170" fontId="13" fillId="0" borderId="0" xfId="0" applyFont="1" applyFill="1" applyBorder="1" applyAlignment="1">
      <alignment vertical="center"/>
    </xf>
    <xf numFmtId="170" fontId="13" fillId="0" borderId="0" xfId="24" applyFont="1" applyFill="1" applyBorder="1" applyAlignment="1">
      <alignment horizontal="right" vertical="center"/>
      <protection/>
    </xf>
    <xf numFmtId="170" fontId="13" fillId="0" borderId="0" xfId="24" applyFont="1" applyFill="1" applyBorder="1" applyAlignment="1">
      <alignment vertical="center"/>
      <protection/>
    </xf>
    <xf numFmtId="170" fontId="17" fillId="0" borderId="0" xfId="24" applyFont="1" applyFill="1" applyBorder="1" applyAlignment="1">
      <alignment wrapText="1"/>
      <protection/>
    </xf>
    <xf numFmtId="4" fontId="13" fillId="0" borderId="0" xfId="24" applyNumberFormat="1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/>
    </xf>
    <xf numFmtId="8" fontId="13" fillId="0" borderId="0" xfId="24" applyNumberFormat="1" applyFont="1" applyFill="1" applyBorder="1" applyAlignment="1">
      <alignment horizontal="center" vertical="center"/>
      <protection/>
    </xf>
    <xf numFmtId="2" fontId="13" fillId="0" borderId="0" xfId="24" applyNumberFormat="1" applyFont="1" applyFill="1" applyBorder="1" applyAlignment="1">
      <alignment horizontal="center" vertical="center" wrapText="1"/>
      <protection/>
    </xf>
    <xf numFmtId="168" fontId="13" fillId="0" borderId="0" xfId="24" applyNumberFormat="1" applyFont="1" applyFill="1" applyBorder="1" applyAlignment="1">
      <alignment horizontal="center" vertical="center"/>
      <protection/>
    </xf>
    <xf numFmtId="2" fontId="13" fillId="0" borderId="0" xfId="24" applyNumberFormat="1" applyFont="1" applyFill="1" applyBorder="1" applyAlignment="1">
      <alignment horizontal="center"/>
      <protection/>
    </xf>
    <xf numFmtId="168" fontId="13" fillId="0" borderId="0" xfId="24" applyNumberFormat="1" applyFont="1" applyFill="1" applyBorder="1" applyAlignment="1">
      <alignment horizontal="center"/>
      <protection/>
    </xf>
    <xf numFmtId="4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170" fontId="4" fillId="0" borderId="0" xfId="0" applyFont="1"/>
    <xf numFmtId="0" fontId="4" fillId="0" borderId="0" xfId="0" applyNumberFormat="1" applyFont="1"/>
    <xf numFmtId="0" fontId="13" fillId="0" borderId="0" xfId="0" applyNumberFormat="1" applyFont="1"/>
    <xf numFmtId="170" fontId="13" fillId="3" borderId="0" xfId="0" applyFont="1" applyFill="1"/>
    <xf numFmtId="170" fontId="13" fillId="3" borderId="0" xfId="0" applyFont="1" applyFill="1" applyAlignment="1">
      <alignment horizontal="center"/>
    </xf>
    <xf numFmtId="2" fontId="13" fillId="0" borderId="0" xfId="0" applyNumberFormat="1" applyFont="1"/>
    <xf numFmtId="170" fontId="13" fillId="0" borderId="8" xfId="0" applyFont="1" applyBorder="1" applyAlignment="1">
      <alignment horizontal="center"/>
    </xf>
    <xf numFmtId="170" fontId="4" fillId="0" borderId="8" xfId="0" applyFont="1" applyBorder="1" applyAlignment="1">
      <alignment horizontal="center"/>
    </xf>
    <xf numFmtId="170" fontId="4" fillId="0" borderId="0" xfId="0" applyFont="1" applyBorder="1"/>
    <xf numFmtId="170" fontId="4" fillId="0" borderId="0" xfId="0" applyFont="1" applyAlignment="1">
      <alignment horizontal="center" vertical="center"/>
    </xf>
    <xf numFmtId="170" fontId="13" fillId="7" borderId="9" xfId="0" applyFont="1" applyFill="1" applyBorder="1" applyAlignment="1">
      <alignment vertical="center"/>
    </xf>
    <xf numFmtId="170" fontId="13" fillId="7" borderId="10" xfId="0" applyFont="1" applyFill="1" applyBorder="1" applyAlignment="1">
      <alignment vertical="center"/>
    </xf>
    <xf numFmtId="170" fontId="13" fillId="8" borderId="9" xfId="0" applyFont="1" applyFill="1" applyBorder="1" applyAlignment="1">
      <alignment vertical="center"/>
    </xf>
    <xf numFmtId="170" fontId="13" fillId="8" borderId="10" xfId="0" applyFont="1" applyFill="1" applyBorder="1" applyAlignment="1">
      <alignment horizontal="center" vertical="center"/>
    </xf>
    <xf numFmtId="170" fontId="13" fillId="8" borderId="10" xfId="0" applyFont="1" applyFill="1" applyBorder="1" applyAlignment="1">
      <alignment vertical="center"/>
    </xf>
    <xf numFmtId="170" fontId="13" fillId="9" borderId="9" xfId="0" applyFont="1" applyFill="1" applyBorder="1" applyAlignment="1">
      <alignment vertical="center"/>
    </xf>
    <xf numFmtId="170" fontId="13" fillId="9" borderId="10" xfId="0" applyFont="1" applyFill="1" applyBorder="1" applyAlignment="1">
      <alignment vertical="center"/>
    </xf>
    <xf numFmtId="170" fontId="13" fillId="0" borderId="11" xfId="0" applyFont="1" applyBorder="1"/>
    <xf numFmtId="170" fontId="13" fillId="0" borderId="12" xfId="0" applyFont="1" applyBorder="1"/>
    <xf numFmtId="2" fontId="13" fillId="0" borderId="13" xfId="0" applyNumberFormat="1" applyFont="1" applyBorder="1"/>
    <xf numFmtId="1" fontId="13" fillId="0" borderId="14" xfId="0" applyNumberFormat="1" applyFont="1" applyBorder="1" applyAlignment="1">
      <alignment horizontal="center"/>
    </xf>
    <xf numFmtId="170" fontId="13" fillId="0" borderId="15" xfId="0" applyFont="1" applyBorder="1"/>
    <xf numFmtId="170" fontId="13" fillId="0" borderId="16" xfId="0" applyFont="1" applyBorder="1"/>
    <xf numFmtId="170" fontId="13" fillId="0" borderId="17" xfId="0" applyFont="1" applyBorder="1"/>
    <xf numFmtId="10" fontId="13" fillId="0" borderId="18" xfId="27" applyNumberFormat="1" applyFont="1" applyFill="1" applyBorder="1" applyAlignment="1" applyProtection="1">
      <alignment horizontal="center"/>
      <protection/>
    </xf>
    <xf numFmtId="1" fontId="13" fillId="0" borderId="19" xfId="0" applyNumberFormat="1" applyFont="1" applyBorder="1" applyAlignment="1">
      <alignment horizontal="center"/>
    </xf>
    <xf numFmtId="170" fontId="13" fillId="0" borderId="20" xfId="0" applyFont="1" applyBorder="1"/>
    <xf numFmtId="10" fontId="13" fillId="0" borderId="21" xfId="27" applyNumberFormat="1" applyFont="1" applyFill="1" applyBorder="1" applyAlignment="1" applyProtection="1">
      <alignment horizontal="center"/>
      <protection/>
    </xf>
    <xf numFmtId="170" fontId="13" fillId="0" borderId="22" xfId="0" applyFont="1" applyBorder="1"/>
    <xf numFmtId="10" fontId="13" fillId="0" borderId="21" xfId="0" applyNumberFormat="1" applyFont="1" applyBorder="1" applyAlignment="1">
      <alignment horizontal="center"/>
    </xf>
    <xf numFmtId="10" fontId="13" fillId="0" borderId="0" xfId="0" applyNumberFormat="1" applyFont="1"/>
    <xf numFmtId="1" fontId="13" fillId="0" borderId="23" xfId="0" applyNumberFormat="1" applyFont="1" applyBorder="1" applyAlignment="1">
      <alignment horizontal="center"/>
    </xf>
    <xf numFmtId="170" fontId="13" fillId="0" borderId="24" xfId="0" applyFont="1" applyBorder="1"/>
    <xf numFmtId="170" fontId="13" fillId="0" borderId="25" xfId="0" applyFont="1" applyBorder="1"/>
    <xf numFmtId="170" fontId="13" fillId="0" borderId="26" xfId="0" applyFont="1" applyBorder="1"/>
    <xf numFmtId="10" fontId="13" fillId="10" borderId="27" xfId="27" applyNumberFormat="1" applyFont="1" applyFill="1" applyBorder="1" applyAlignment="1" applyProtection="1">
      <alignment horizontal="center"/>
      <protection/>
    </xf>
    <xf numFmtId="10" fontId="13" fillId="0" borderId="13" xfId="0" applyNumberFormat="1" applyFont="1" applyBorder="1"/>
    <xf numFmtId="170" fontId="13" fillId="0" borderId="14" xfId="0" applyFont="1" applyBorder="1" applyAlignment="1">
      <alignment horizontal="center"/>
    </xf>
    <xf numFmtId="170" fontId="13" fillId="0" borderId="19" xfId="0" applyFont="1" applyBorder="1" applyAlignment="1">
      <alignment horizontal="center"/>
    </xf>
    <xf numFmtId="170" fontId="13" fillId="0" borderId="23" xfId="0" applyFont="1" applyBorder="1" applyAlignment="1">
      <alignment horizontal="center"/>
    </xf>
    <xf numFmtId="10" fontId="13" fillId="0" borderId="27" xfId="27" applyNumberFormat="1" applyFont="1" applyFill="1" applyBorder="1" applyAlignment="1" applyProtection="1">
      <alignment horizontal="center"/>
      <protection/>
    </xf>
    <xf numFmtId="10" fontId="4" fillId="10" borderId="28" xfId="27" applyNumberFormat="1" applyFont="1" applyFill="1" applyBorder="1" applyAlignment="1" applyProtection="1">
      <alignment horizontal="center"/>
      <protection/>
    </xf>
    <xf numFmtId="10" fontId="4" fillId="10" borderId="28" xfId="0" applyNumberFormat="1" applyFont="1" applyFill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/>
    </xf>
    <xf numFmtId="170" fontId="4" fillId="0" borderId="8" xfId="0" applyFont="1" applyBorder="1"/>
    <xf numFmtId="170" fontId="13" fillId="0" borderId="13" xfId="0" applyFont="1" applyBorder="1"/>
    <xf numFmtId="170" fontId="4" fillId="5" borderId="29" xfId="31" applyFont="1" applyFill="1" applyBorder="1" applyAlignment="1">
      <alignment vertical="center"/>
      <protection/>
    </xf>
    <xf numFmtId="40" fontId="13" fillId="3" borderId="0" xfId="55" applyNumberFormat="1" applyFont="1" applyFill="1" applyBorder="1" applyAlignment="1">
      <alignment horizontal="left" vertical="center"/>
      <protection/>
    </xf>
    <xf numFmtId="170" fontId="9" fillId="0" borderId="0" xfId="44" applyFont="1" applyAlignment="1">
      <alignment vertical="center"/>
      <protection/>
    </xf>
    <xf numFmtId="40" fontId="13" fillId="3" borderId="0" xfId="55" applyNumberFormat="1" applyFont="1" applyFill="1" applyAlignment="1">
      <alignment horizontal="left" vertical="center"/>
      <protection/>
    </xf>
    <xf numFmtId="40" fontId="13" fillId="3" borderId="0" xfId="55" applyNumberFormat="1" applyFont="1" applyFill="1" applyBorder="1" applyAlignment="1">
      <alignment horizontal="center" vertical="center"/>
      <protection/>
    </xf>
    <xf numFmtId="40" fontId="4" fillId="3" borderId="0" xfId="55" applyNumberFormat="1" applyFont="1" applyFill="1" applyBorder="1" applyAlignment="1">
      <alignment horizontal="center" vertical="center"/>
      <protection/>
    </xf>
    <xf numFmtId="40" fontId="13" fillId="0" borderId="0" xfId="55" applyNumberFormat="1" applyFont="1" applyFill="1" applyBorder="1" applyAlignment="1">
      <alignment horizontal="left" vertical="center"/>
      <protection/>
    </xf>
    <xf numFmtId="40" fontId="13" fillId="3" borderId="0" xfId="55" applyNumberFormat="1" applyFont="1" applyFill="1" applyAlignment="1">
      <alignment horizontal="left" vertical="center" wrapText="1"/>
      <protection/>
    </xf>
    <xf numFmtId="170" fontId="9" fillId="3" borderId="0" xfId="44" applyFont="1" applyFill="1" applyAlignment="1">
      <alignment vertical="center"/>
      <protection/>
    </xf>
    <xf numFmtId="170" fontId="13" fillId="3" borderId="0" xfId="0" applyFont="1" applyFill="1" applyAlignment="1">
      <alignment vertical="center"/>
    </xf>
    <xf numFmtId="2" fontId="4" fillId="3" borderId="0" xfId="0" applyNumberFormat="1" applyFont="1" applyFill="1" applyAlignment="1">
      <alignment horizontal="left" vertical="center" wrapText="1"/>
    </xf>
    <xf numFmtId="40" fontId="13" fillId="3" borderId="0" xfId="55" applyNumberFormat="1" applyFont="1" applyFill="1" applyBorder="1" applyAlignment="1">
      <alignment horizontal="left" vertical="center" wrapText="1"/>
      <protection/>
    </xf>
    <xf numFmtId="40" fontId="4" fillId="3" borderId="0" xfId="55" applyNumberFormat="1" applyFont="1" applyFill="1" applyBorder="1" applyAlignment="1">
      <alignment horizontal="left" vertical="center" wrapText="1"/>
      <protection/>
    </xf>
    <xf numFmtId="40" fontId="4" fillId="3" borderId="0" xfId="55" applyNumberFormat="1" applyFont="1" applyFill="1" applyBorder="1" applyAlignment="1">
      <alignment vertical="center" wrapText="1"/>
      <protection/>
    </xf>
    <xf numFmtId="40" fontId="13" fillId="0" borderId="0" xfId="55" applyNumberFormat="1" applyFont="1" applyFill="1" applyBorder="1" applyAlignment="1">
      <alignment horizontal="center" vertical="center"/>
      <protection/>
    </xf>
    <xf numFmtId="40" fontId="4" fillId="0" borderId="0" xfId="55" applyNumberFormat="1" applyFont="1" applyFill="1" applyBorder="1" applyAlignment="1">
      <alignment horizontal="center" vertical="center"/>
      <protection/>
    </xf>
    <xf numFmtId="40" fontId="13" fillId="0" borderId="0" xfId="55" applyNumberFormat="1" applyFont="1" applyFill="1" applyBorder="1" applyAlignment="1">
      <alignment vertical="center"/>
      <protection/>
    </xf>
    <xf numFmtId="40" fontId="4" fillId="0" borderId="0" xfId="55" applyNumberFormat="1" applyFont="1" applyFill="1" applyBorder="1" applyAlignment="1">
      <alignment horizontal="left" vertical="center" wrapText="1"/>
      <protection/>
    </xf>
    <xf numFmtId="40" fontId="13" fillId="0" borderId="0" xfId="55" applyNumberFormat="1" applyFont="1" applyFill="1" applyAlignment="1">
      <alignment horizontal="center" vertical="center"/>
      <protection/>
    </xf>
    <xf numFmtId="170" fontId="9" fillId="0" borderId="0" xfId="44" applyFont="1">
      <alignment/>
      <protection/>
    </xf>
    <xf numFmtId="2" fontId="9" fillId="3" borderId="0" xfId="44" applyNumberFormat="1" applyFont="1" applyFill="1" applyAlignment="1">
      <alignment horizontal="center" vertical="center"/>
      <protection/>
    </xf>
    <xf numFmtId="170" fontId="4" fillId="0" borderId="0" xfId="24" applyFont="1" applyFill="1" applyBorder="1" applyAlignment="1">
      <alignment vertical="center"/>
      <protection/>
    </xf>
    <xf numFmtId="170" fontId="13" fillId="0" borderId="0" xfId="0" applyFont="1" applyFill="1"/>
    <xf numFmtId="170" fontId="13" fillId="7" borderId="30" xfId="0" applyFont="1" applyFill="1" applyBorder="1" applyAlignment="1">
      <alignment vertical="center"/>
    </xf>
    <xf numFmtId="170" fontId="13" fillId="7" borderId="31" xfId="0" applyFont="1" applyFill="1" applyBorder="1" applyAlignment="1">
      <alignment vertical="center"/>
    </xf>
    <xf numFmtId="170" fontId="13" fillId="7" borderId="32" xfId="0" applyFont="1" applyFill="1" applyBorder="1" applyAlignment="1">
      <alignment vertical="center"/>
    </xf>
    <xf numFmtId="9" fontId="13" fillId="0" borderId="0" xfId="21" applyFont="1"/>
    <xf numFmtId="170" fontId="13" fillId="9" borderId="31" xfId="0" applyFont="1" applyFill="1" applyBorder="1" applyAlignment="1">
      <alignment vertical="center"/>
    </xf>
    <xf numFmtId="170" fontId="13" fillId="9" borderId="32" xfId="0" applyFont="1" applyFill="1" applyBorder="1" applyAlignment="1">
      <alignment vertical="center"/>
    </xf>
    <xf numFmtId="2" fontId="13" fillId="0" borderId="0" xfId="0" applyNumberFormat="1" applyFont="1" applyBorder="1" applyAlignment="1">
      <alignment horizontal="center"/>
    </xf>
    <xf numFmtId="170" fontId="0" fillId="3" borderId="0" xfId="0" applyFill="1"/>
    <xf numFmtId="170" fontId="14" fillId="0" borderId="0" xfId="44" applyFont="1" applyAlignment="1">
      <alignment horizontal="left" vertical="center" wrapText="1"/>
      <protection/>
    </xf>
    <xf numFmtId="2" fontId="4" fillId="3" borderId="0" xfId="0" applyNumberFormat="1" applyFont="1" applyFill="1" applyAlignment="1">
      <alignment horizontal="left" vertical="center" wrapText="1"/>
    </xf>
    <xf numFmtId="0" fontId="13" fillId="0" borderId="0" xfId="0" applyNumberFormat="1" applyFont="1" applyAlignment="1">
      <alignment horizontal="center"/>
    </xf>
    <xf numFmtId="2" fontId="0" fillId="0" borderId="1" xfId="0" applyNumberFormat="1" applyBorder="1"/>
    <xf numFmtId="40" fontId="2" fillId="3" borderId="0" xfId="58" applyNumberFormat="1" applyFont="1" applyFill="1" applyAlignment="1">
      <alignment horizontal="center"/>
      <protection/>
    </xf>
    <xf numFmtId="40" fontId="0" fillId="3" borderId="0" xfId="58" applyNumberFormat="1" applyFont="1" applyFill="1" applyAlignment="1">
      <alignment horizontal="left"/>
      <protection/>
    </xf>
    <xf numFmtId="40" fontId="0" fillId="11" borderId="33" xfId="58" applyNumberFormat="1" applyFill="1" applyBorder="1" applyAlignment="1">
      <alignment horizontal="center"/>
      <protection/>
    </xf>
    <xf numFmtId="40" fontId="0" fillId="11" borderId="6" xfId="58" applyNumberFormat="1" applyFill="1" applyBorder="1" applyAlignment="1">
      <alignment horizontal="center"/>
      <protection/>
    </xf>
    <xf numFmtId="40" fontId="0" fillId="11" borderId="7" xfId="58" applyNumberFormat="1" applyFont="1" applyFill="1" applyBorder="1" applyAlignment="1">
      <alignment horizontal="center"/>
      <protection/>
    </xf>
    <xf numFmtId="169" fontId="13" fillId="3" borderId="7" xfId="0" applyNumberFormat="1" applyFont="1" applyFill="1" applyBorder="1" applyAlignment="1">
      <alignment/>
    </xf>
    <xf numFmtId="170" fontId="14" fillId="0" borderId="0" xfId="44" applyFont="1" applyAlignment="1">
      <alignment horizontal="center" vertical="center"/>
      <protection/>
    </xf>
    <xf numFmtId="44" fontId="18" fillId="12" borderId="1" xfId="0" applyNumberFormat="1" applyFont="1" applyFill="1" applyBorder="1" applyAlignment="1">
      <alignment horizontal="center" vertical="center" wrapText="1"/>
    </xf>
    <xf numFmtId="0" fontId="11" fillId="13" borderId="1" xfId="54" applyFont="1" applyFill="1" applyBorder="1" applyAlignment="1">
      <alignment horizontal="center" vertical="center" wrapText="1"/>
      <protection/>
    </xf>
    <xf numFmtId="0" fontId="11" fillId="13" borderId="33" xfId="54" applyFont="1" applyFill="1" applyBorder="1" applyAlignment="1">
      <alignment horizontal="center" vertical="center" wrapText="1"/>
      <protection/>
    </xf>
    <xf numFmtId="175" fontId="11" fillId="13" borderId="1" xfId="33" applyNumberFormat="1" applyFont="1" applyFill="1" applyBorder="1" applyAlignment="1">
      <alignment horizontal="center" vertical="center" wrapText="1"/>
    </xf>
    <xf numFmtId="170" fontId="10" fillId="12" borderId="1" xfId="0" applyFont="1" applyFill="1" applyBorder="1" applyAlignment="1">
      <alignment horizontal="center" vertical="center" wrapText="1"/>
    </xf>
    <xf numFmtId="170" fontId="9" fillId="3" borderId="0" xfId="44" applyFont="1" applyFill="1" applyBorder="1" applyAlignment="1">
      <alignment vertical="center"/>
      <protection/>
    </xf>
    <xf numFmtId="170" fontId="0" fillId="3" borderId="0" xfId="0" applyFill="1" applyBorder="1"/>
    <xf numFmtId="170" fontId="13" fillId="0" borderId="0" xfId="0" applyFont="1" applyAlignment="1">
      <alignment horizontal="center"/>
    </xf>
    <xf numFmtId="170" fontId="12" fillId="3" borderId="1" xfId="0" applyFont="1" applyFill="1" applyBorder="1" applyAlignment="1">
      <alignment horizontal="center" vertical="center" wrapText="1"/>
    </xf>
    <xf numFmtId="0" fontId="12" fillId="3" borderId="33" xfId="0" applyNumberFormat="1" applyFont="1" applyFill="1" applyBorder="1" applyAlignment="1">
      <alignment horizontal="center" vertical="center" wrapText="1"/>
    </xf>
    <xf numFmtId="170" fontId="12" fillId="3" borderId="1" xfId="0" applyFont="1" applyFill="1" applyBorder="1" applyAlignment="1">
      <alignment horizontal="center" vertical="center"/>
    </xf>
    <xf numFmtId="44" fontId="12" fillId="3" borderId="1" xfId="33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2" fontId="0" fillId="0" borderId="29" xfId="0" applyNumberFormat="1" applyBorder="1"/>
    <xf numFmtId="0" fontId="20" fillId="0" borderId="0" xfId="64" applyFont="1" applyBorder="1" applyAlignment="1">
      <alignment horizontal="left" wrapText="1"/>
      <protection/>
    </xf>
    <xf numFmtId="0" fontId="20" fillId="0" borderId="0" xfId="64" applyFont="1" applyBorder="1" applyAlignment="1">
      <alignment horizontal="center"/>
      <protection/>
    </xf>
    <xf numFmtId="4" fontId="20" fillId="0" borderId="0" xfId="64" applyNumberFormat="1" applyFont="1" applyBorder="1" applyAlignment="1">
      <alignment horizontal="right"/>
      <protection/>
    </xf>
    <xf numFmtId="0" fontId="21" fillId="0" borderId="0" xfId="64" applyFont="1" applyBorder="1" applyAlignment="1">
      <alignment horizontal="right"/>
      <protection/>
    </xf>
    <xf numFmtId="10" fontId="22" fillId="0" borderId="0" xfId="64" applyNumberFormat="1" applyFont="1" applyBorder="1" applyAlignment="1">
      <alignment horizontal="center" vertical="center"/>
      <protection/>
    </xf>
    <xf numFmtId="0" fontId="20" fillId="14" borderId="0" xfId="64" applyFont="1" applyFill="1" applyBorder="1" applyAlignment="1">
      <alignment horizontal="left" wrapText="1"/>
      <protection/>
    </xf>
    <xf numFmtId="10" fontId="20" fillId="14" borderId="0" xfId="64" applyNumberFormat="1" applyFont="1" applyFill="1" applyBorder="1" applyAlignment="1">
      <alignment horizontal="center"/>
      <protection/>
    </xf>
    <xf numFmtId="4" fontId="20" fillId="14" borderId="0" xfId="64" applyNumberFormat="1" applyFont="1" applyFill="1" applyBorder="1" applyAlignment="1">
      <alignment horizontal="center" vertical="center"/>
      <protection/>
    </xf>
    <xf numFmtId="0" fontId="19" fillId="0" borderId="0" xfId="64" applyFont="1" applyBorder="1" applyAlignment="1">
      <alignment horizontal="center" vertical="center" wrapText="1"/>
      <protection/>
    </xf>
    <xf numFmtId="0" fontId="19" fillId="0" borderId="0" xfId="64" applyFont="1" applyBorder="1" applyAlignment="1">
      <alignment horizontal="left" wrapText="1"/>
      <protection/>
    </xf>
    <xf numFmtId="4" fontId="19" fillId="0" borderId="0" xfId="64" applyNumberFormat="1" applyFont="1" applyBorder="1" applyAlignment="1">
      <alignment horizontal="center"/>
      <protection/>
    </xf>
    <xf numFmtId="4" fontId="20" fillId="0" borderId="0" xfId="64" applyNumberFormat="1" applyFont="1" applyBorder="1" applyAlignment="1">
      <alignment horizontal="center" vertical="center"/>
      <protection/>
    </xf>
    <xf numFmtId="0" fontId="20" fillId="14" borderId="0" xfId="64" applyFont="1" applyFill="1" applyBorder="1" applyAlignment="1">
      <alignment horizontal="center" vertical="center" wrapText="1"/>
      <protection/>
    </xf>
    <xf numFmtId="178" fontId="20" fillId="14" borderId="0" xfId="27" applyNumberFormat="1" applyFont="1" applyFill="1" applyBorder="1" applyAlignment="1">
      <alignment horizontal="center"/>
    </xf>
    <xf numFmtId="178" fontId="19" fillId="0" borderId="0" xfId="27" applyNumberFormat="1" applyFont="1" applyBorder="1" applyAlignment="1">
      <alignment horizontal="center"/>
    </xf>
    <xf numFmtId="178" fontId="20" fillId="15" borderId="0" xfId="27" applyNumberFormat="1" applyFont="1" applyFill="1" applyBorder="1" applyAlignment="1">
      <alignment horizontal="center"/>
    </xf>
    <xf numFmtId="178" fontId="20" fillId="0" borderId="0" xfId="27" applyNumberFormat="1" applyFont="1" applyBorder="1" applyAlignment="1">
      <alignment horizontal="center"/>
    </xf>
    <xf numFmtId="0" fontId="19" fillId="14" borderId="0" xfId="64" applyFont="1" applyFill="1" applyBorder="1" applyAlignment="1">
      <alignment horizontal="center" wrapText="1"/>
      <protection/>
    </xf>
    <xf numFmtId="4" fontId="19" fillId="0" borderId="0" xfId="64" applyNumberFormat="1" applyFont="1" applyBorder="1" applyAlignment="1">
      <alignment horizontal="right"/>
      <protection/>
    </xf>
    <xf numFmtId="0" fontId="20" fillId="0" borderId="0" xfId="64" applyFont="1" applyBorder="1" applyAlignment="1">
      <alignment horizontal="left"/>
      <protection/>
    </xf>
    <xf numFmtId="0" fontId="22" fillId="0" borderId="0" xfId="64" applyFont="1" applyBorder="1" applyAlignment="1">
      <alignment/>
      <protection/>
    </xf>
    <xf numFmtId="0" fontId="0" fillId="0" borderId="0" xfId="65" applyFont="1" applyBorder="1" applyAlignment="1">
      <alignment horizontal="left" indent="1"/>
      <protection/>
    </xf>
    <xf numFmtId="0" fontId="0" fillId="0" borderId="0" xfId="65" applyFont="1" applyBorder="1" applyAlignment="1">
      <alignment horizontal="left" wrapText="1"/>
      <protection/>
    </xf>
    <xf numFmtId="0" fontId="0" fillId="0" borderId="0" xfId="65" applyFont="1" applyBorder="1" applyAlignment="1">
      <alignment horizontal="center"/>
      <protection/>
    </xf>
    <xf numFmtId="2" fontId="0" fillId="0" borderId="1" xfId="0" applyNumberFormat="1" applyBorder="1" applyAlignment="1">
      <alignment horizontal="center" vertical="center"/>
    </xf>
    <xf numFmtId="170" fontId="2" fillId="0" borderId="0" xfId="0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70" fontId="10" fillId="3" borderId="33" xfId="0" applyFont="1" applyFill="1" applyBorder="1" applyAlignment="1">
      <alignment vertical="center"/>
    </xf>
    <xf numFmtId="170" fontId="10" fillId="3" borderId="6" xfId="0" applyFont="1" applyFill="1" applyBorder="1" applyAlignment="1">
      <alignment vertical="center"/>
    </xf>
    <xf numFmtId="170" fontId="10" fillId="3" borderId="7" xfId="0" applyFont="1" applyFill="1" applyBorder="1" applyAlignment="1">
      <alignment vertical="center"/>
    </xf>
    <xf numFmtId="2" fontId="13" fillId="3" borderId="34" xfId="0" applyNumberFormat="1" applyFont="1" applyFill="1" applyBorder="1" applyAlignment="1">
      <alignment horizontal="center" vertical="center"/>
    </xf>
    <xf numFmtId="2" fontId="13" fillId="3" borderId="35" xfId="0" applyNumberFormat="1" applyFont="1" applyFill="1" applyBorder="1" applyAlignment="1">
      <alignment horizontal="center"/>
    </xf>
    <xf numFmtId="2" fontId="13" fillId="3" borderId="35" xfId="0" applyNumberFormat="1" applyFont="1" applyFill="1" applyBorder="1" applyAlignment="1">
      <alignment horizontal="center" vertical="center"/>
    </xf>
    <xf numFmtId="44" fontId="10" fillId="3" borderId="7" xfId="33" applyFont="1" applyFill="1" applyBorder="1" applyAlignment="1">
      <alignment horizontal="center" vertical="center"/>
    </xf>
    <xf numFmtId="170" fontId="18" fillId="12" borderId="6" xfId="0" applyFont="1" applyFill="1" applyBorder="1" applyAlignment="1">
      <alignment vertical="center" wrapText="1"/>
    </xf>
    <xf numFmtId="170" fontId="18" fillId="12" borderId="7" xfId="0" applyFont="1" applyFill="1" applyBorder="1" applyAlignment="1">
      <alignment vertical="center" wrapText="1"/>
    </xf>
    <xf numFmtId="44" fontId="18" fillId="12" borderId="7" xfId="0" applyNumberFormat="1" applyFont="1" applyFill="1" applyBorder="1" applyAlignment="1">
      <alignment horizontal="center" vertical="center" wrapText="1"/>
    </xf>
    <xf numFmtId="0" fontId="11" fillId="13" borderId="36" xfId="54" applyFont="1" applyFill="1" applyBorder="1" applyAlignment="1">
      <alignment horizontal="center" vertical="center" wrapText="1"/>
      <protection/>
    </xf>
    <xf numFmtId="0" fontId="11" fillId="13" borderId="34" xfId="54" applyFont="1" applyFill="1" applyBorder="1" applyAlignment="1">
      <alignment horizontal="center" vertical="center" wrapText="1"/>
      <protection/>
    </xf>
    <xf numFmtId="175" fontId="11" fillId="13" borderId="36" xfId="33" applyNumberFormat="1" applyFont="1" applyFill="1" applyBorder="1" applyAlignment="1">
      <alignment horizontal="center" vertical="center" wrapText="1"/>
    </xf>
    <xf numFmtId="170" fontId="10" fillId="12" borderId="36" xfId="0" applyFont="1" applyFill="1" applyBorder="1" applyAlignment="1">
      <alignment horizontal="center" vertical="center" wrapText="1"/>
    </xf>
    <xf numFmtId="170" fontId="18" fillId="12" borderId="33" xfId="0" applyFont="1" applyFill="1" applyBorder="1" applyAlignment="1">
      <alignment vertical="center"/>
    </xf>
    <xf numFmtId="170" fontId="18" fillId="12" borderId="33" xfId="0" applyFont="1" applyFill="1" applyBorder="1" applyAlignment="1">
      <alignment horizontal="left" vertical="center"/>
    </xf>
    <xf numFmtId="170" fontId="18" fillId="12" borderId="6" xfId="0" applyFont="1" applyFill="1" applyBorder="1" applyAlignment="1">
      <alignment horizontal="left" vertical="center"/>
    </xf>
    <xf numFmtId="170" fontId="18" fillId="12" borderId="7" xfId="0" applyFont="1" applyFill="1" applyBorder="1" applyAlignment="1">
      <alignment horizontal="left" vertical="center"/>
    </xf>
    <xf numFmtId="0" fontId="2" fillId="3" borderId="1" xfId="31" applyNumberFormat="1" applyFont="1" applyFill="1" applyBorder="1" applyAlignment="1">
      <alignment vertical="center"/>
      <protection/>
    </xf>
    <xf numFmtId="49" fontId="2" fillId="16" borderId="1" xfId="0" applyNumberFormat="1" applyFont="1" applyFill="1" applyBorder="1" applyAlignment="1">
      <alignment horizontal="center" vertical="center" wrapText="1"/>
    </xf>
    <xf numFmtId="0" fontId="2" fillId="16" borderId="1" xfId="20" applyNumberFormat="1" applyFont="1" applyFill="1" applyBorder="1" applyAlignment="1">
      <alignment horizontal="center" vertical="center" wrapText="1"/>
    </xf>
    <xf numFmtId="0" fontId="0" fillId="0" borderId="0" xfId="20" applyNumberFormat="1" applyFont="1" applyAlignment="1">
      <alignment horizontal="center" vertical="center" wrapText="1"/>
    </xf>
    <xf numFmtId="4" fontId="2" fillId="16" borderId="1" xfId="0" applyNumberFormat="1" applyFont="1" applyFill="1" applyBorder="1" applyAlignment="1">
      <alignment horizontal="center" vertical="center" wrapText="1"/>
    </xf>
    <xf numFmtId="169" fontId="0" fillId="3" borderId="1" xfId="33" applyNumberFormat="1" applyFont="1" applyFill="1" applyBorder="1" applyAlignment="1">
      <alignment horizontal="center" vertical="center" wrapText="1"/>
    </xf>
    <xf numFmtId="170" fontId="0" fillId="3" borderId="0" xfId="0" applyFont="1" applyFill="1" applyAlignment="1">
      <alignment horizontal="center" vertical="center" wrapText="1"/>
    </xf>
    <xf numFmtId="164" fontId="0" fillId="0" borderId="0" xfId="20" applyFont="1" applyAlignment="1">
      <alignment horizontal="center" vertical="center" wrapText="1"/>
    </xf>
    <xf numFmtId="164" fontId="0" fillId="0" borderId="0" xfId="20" applyFont="1" applyAlignment="1">
      <alignment horizontal="right" vertical="center"/>
    </xf>
    <xf numFmtId="164" fontId="2" fillId="16" borderId="1" xfId="20" applyFont="1" applyFill="1" applyBorder="1" applyAlignment="1">
      <alignment horizontal="center" vertical="center" wrapText="1"/>
    </xf>
    <xf numFmtId="169" fontId="2" fillId="0" borderId="1" xfId="20" applyNumberFormat="1" applyFont="1" applyFill="1" applyBorder="1" applyAlignment="1">
      <alignment horizontal="center" vertical="center" wrapText="1"/>
    </xf>
    <xf numFmtId="7" fontId="2" fillId="16" borderId="1" xfId="20" applyNumberFormat="1" applyFont="1" applyFill="1" applyBorder="1" applyAlignment="1">
      <alignment horizontal="center" vertical="center" wrapText="1"/>
    </xf>
    <xf numFmtId="9" fontId="0" fillId="0" borderId="0" xfId="21" applyFont="1" applyAlignment="1">
      <alignment horizontal="center" vertical="center" wrapText="1"/>
    </xf>
    <xf numFmtId="10" fontId="0" fillId="16" borderId="1" xfId="0" applyNumberFormat="1" applyFont="1" applyFill="1" applyBorder="1" applyAlignment="1">
      <alignment horizontal="center" vertical="center" wrapText="1"/>
    </xf>
    <xf numFmtId="10" fontId="0" fillId="0" borderId="1" xfId="21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179" fontId="0" fillId="0" borderId="0" xfId="20" applyNumberFormat="1" applyFont="1" applyAlignment="1">
      <alignment horizontal="center" vertical="center" wrapText="1"/>
    </xf>
    <xf numFmtId="0" fontId="2" fillId="16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170" fontId="2" fillId="5" borderId="1" xfId="31" applyFont="1" applyFill="1" applyBorder="1" applyAlignment="1">
      <alignment horizontal="left" vertical="center"/>
      <protection/>
    </xf>
    <xf numFmtId="170" fontId="0" fillId="0" borderId="0" xfId="0" applyFont="1" applyAlignment="1">
      <alignment vertical="center" wrapText="1"/>
    </xf>
    <xf numFmtId="169" fontId="2" fillId="12" borderId="7" xfId="20" applyNumberFormat="1" applyFont="1" applyFill="1" applyBorder="1" applyAlignment="1">
      <alignment horizontal="center" vertical="center" wrapText="1"/>
    </xf>
    <xf numFmtId="170" fontId="2" fillId="12" borderId="7" xfId="0" applyFont="1" applyFill="1" applyBorder="1" applyAlignment="1">
      <alignment horizontal="center" vertical="center" wrapText="1"/>
    </xf>
    <xf numFmtId="170" fontId="2" fillId="12" borderId="33" xfId="0" applyFont="1" applyFill="1" applyBorder="1" applyAlignment="1">
      <alignment vertical="center" wrapText="1"/>
    </xf>
    <xf numFmtId="170" fontId="2" fillId="12" borderId="6" xfId="0" applyFont="1" applyFill="1" applyBorder="1" applyAlignment="1">
      <alignment vertical="center" wrapText="1"/>
    </xf>
    <xf numFmtId="170" fontId="2" fillId="12" borderId="33" xfId="0" applyFont="1" applyFill="1" applyBorder="1" applyAlignment="1">
      <alignment vertical="center"/>
    </xf>
    <xf numFmtId="170" fontId="2" fillId="12" borderId="6" xfId="0" applyFont="1" applyFill="1" applyBorder="1" applyAlignment="1">
      <alignment vertical="center"/>
    </xf>
    <xf numFmtId="170" fontId="2" fillId="12" borderId="6" xfId="0" applyFont="1" applyFill="1" applyBorder="1" applyAlignment="1">
      <alignment horizontal="center" vertical="center"/>
    </xf>
    <xf numFmtId="170" fontId="4" fillId="0" borderId="0" xfId="0" applyFont="1" applyAlignment="1">
      <alignment vertical="top"/>
    </xf>
    <xf numFmtId="40" fontId="13" fillId="0" borderId="0" xfId="0" applyNumberFormat="1" applyFont="1" applyFill="1" applyBorder="1" applyAlignment="1">
      <alignment horizontal="left"/>
    </xf>
    <xf numFmtId="170" fontId="13" fillId="0" borderId="0" xfId="0" applyFont="1" applyFill="1" applyAlignment="1">
      <alignment horizontal="center"/>
    </xf>
    <xf numFmtId="40" fontId="13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0" fontId="0" fillId="0" borderId="1" xfId="0" applyNumberFormat="1" applyBorder="1" applyAlignment="1">
      <alignment horizontal="center"/>
    </xf>
    <xf numFmtId="170" fontId="0" fillId="0" borderId="0" xfId="0" applyFill="1"/>
    <xf numFmtId="170" fontId="2" fillId="0" borderId="0" xfId="0" applyFont="1" applyAlignment="1">
      <alignment vertical="top" wrapText="1"/>
    </xf>
    <xf numFmtId="170" fontId="2" fillId="0" borderId="0" xfId="0" applyFont="1" applyAlignment="1">
      <alignment vertical="top"/>
    </xf>
    <xf numFmtId="170" fontId="4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wrapText="1"/>
    </xf>
    <xf numFmtId="2" fontId="13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40" fontId="13" fillId="0" borderId="0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0" fontId="13" fillId="0" borderId="6" xfId="55" applyNumberFormat="1" applyFont="1" applyFill="1" applyBorder="1" applyAlignment="1">
      <alignment horizontal="center" vertical="center"/>
      <protection/>
    </xf>
    <xf numFmtId="40" fontId="13" fillId="0" borderId="7" xfId="55" applyNumberFormat="1" applyFont="1" applyFill="1" applyBorder="1" applyAlignment="1">
      <alignment horizontal="center" vertical="center"/>
      <protection/>
    </xf>
    <xf numFmtId="170" fontId="9" fillId="0" borderId="0" xfId="44" applyFont="1" applyFill="1" applyAlignment="1">
      <alignment vertical="center"/>
      <protection/>
    </xf>
    <xf numFmtId="40" fontId="4" fillId="0" borderId="0" xfId="55" applyNumberFormat="1" applyFont="1" applyFill="1" applyBorder="1" applyAlignment="1">
      <alignment horizontal="left" vertical="center" wrapText="1"/>
      <protection/>
    </xf>
    <xf numFmtId="40" fontId="13" fillId="0" borderId="0" xfId="55" applyNumberFormat="1" applyFont="1" applyFill="1" applyBorder="1" applyAlignment="1">
      <alignment horizontal="left" vertical="center" wrapText="1"/>
      <protection/>
    </xf>
    <xf numFmtId="40" fontId="13" fillId="0" borderId="0" xfId="55" applyNumberFormat="1" applyFont="1" applyFill="1" applyBorder="1" applyAlignment="1">
      <alignment horizontal="center" vertical="center" wrapText="1"/>
      <protection/>
    </xf>
    <xf numFmtId="40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2" fontId="4" fillId="0" borderId="0" xfId="55" applyNumberFormat="1" applyFont="1" applyFill="1" applyBorder="1" applyAlignment="1">
      <alignment horizontal="center" vertical="center"/>
      <protection/>
    </xf>
    <xf numFmtId="2" fontId="0" fillId="0" borderId="33" xfId="0" applyNumberForma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20" applyNumberFormat="1" applyFont="1" applyBorder="1" applyAlignment="1">
      <alignment horizontal="center" vertical="center"/>
    </xf>
    <xf numFmtId="0" fontId="0" fillId="0" borderId="1" xfId="2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7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0" fontId="0" fillId="0" borderId="29" xfId="2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3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170" fontId="4" fillId="0" borderId="0" xfId="0" applyFont="1" applyFill="1" applyAlignment="1">
      <alignment horizontal="left" wrapText="1"/>
    </xf>
    <xf numFmtId="40" fontId="4" fillId="0" borderId="0" xfId="55" applyNumberFormat="1" applyFont="1" applyFill="1" applyBorder="1" applyAlignment="1">
      <alignment vertical="center" wrapText="1"/>
      <protection/>
    </xf>
    <xf numFmtId="2" fontId="0" fillId="0" borderId="1" xfId="0" applyNumberFormat="1" applyFill="1" applyBorder="1"/>
    <xf numFmtId="2" fontId="0" fillId="0" borderId="7" xfId="0" applyNumberFormat="1" applyFill="1" applyBorder="1"/>
    <xf numFmtId="170" fontId="13" fillId="0" borderId="0" xfId="0" applyFont="1" applyFill="1" applyAlignment="1">
      <alignment vertical="center"/>
    </xf>
    <xf numFmtId="2" fontId="13" fillId="0" borderId="0" xfId="55" applyNumberFormat="1" applyFont="1" applyFill="1" applyBorder="1" applyAlignment="1">
      <alignment horizontal="center" vertical="center"/>
      <protection/>
    </xf>
    <xf numFmtId="0" fontId="13" fillId="0" borderId="0" xfId="55" applyNumberFormat="1" applyFont="1" applyFill="1" applyBorder="1" applyAlignment="1">
      <alignment horizontal="center" vertical="center"/>
      <protection/>
    </xf>
    <xf numFmtId="2" fontId="0" fillId="0" borderId="1" xfId="0" applyNumberFormat="1" applyFill="1" applyBorder="1" applyAlignment="1">
      <alignment horizontal="center" vertical="center"/>
    </xf>
    <xf numFmtId="170" fontId="13" fillId="0" borderId="1" xfId="0" applyFont="1" applyBorder="1"/>
    <xf numFmtId="40" fontId="13" fillId="0" borderId="1" xfId="55" applyNumberFormat="1" applyFont="1" applyFill="1" applyBorder="1" applyAlignment="1">
      <alignment horizontal="center" vertical="center"/>
      <protection/>
    </xf>
    <xf numFmtId="40" fontId="13" fillId="0" borderId="33" xfId="55" applyNumberFormat="1" applyFont="1" applyFill="1" applyBorder="1" applyAlignment="1">
      <alignment horizontal="left" vertical="center"/>
      <protection/>
    </xf>
    <xf numFmtId="170" fontId="13" fillId="0" borderId="6" xfId="0" applyFont="1" applyFill="1" applyBorder="1"/>
    <xf numFmtId="170" fontId="13" fillId="0" borderId="7" xfId="0" applyFont="1" applyFill="1" applyBorder="1"/>
    <xf numFmtId="0" fontId="13" fillId="0" borderId="33" xfId="55" applyNumberFormat="1" applyFont="1" applyFill="1" applyBorder="1" applyAlignment="1">
      <alignment horizontal="center" vertical="center"/>
      <protection/>
    </xf>
    <xf numFmtId="40" fontId="13" fillId="0" borderId="1" xfId="55" applyNumberFormat="1" applyFont="1" applyFill="1" applyBorder="1" applyAlignment="1">
      <alignment horizontal="center" vertical="center" wrapText="1"/>
      <protection/>
    </xf>
    <xf numFmtId="40" fontId="0" fillId="3" borderId="1" xfId="58" applyNumberFormat="1" applyFont="1" applyFill="1" applyBorder="1" applyAlignment="1">
      <alignment horizontal="center"/>
      <protection/>
    </xf>
    <xf numFmtId="2" fontId="13" fillId="0" borderId="0" xfId="0" applyNumberFormat="1" applyFont="1" applyFill="1" applyAlignment="1">
      <alignment horizontal="center"/>
    </xf>
    <xf numFmtId="10" fontId="4" fillId="3" borderId="33" xfId="31" applyNumberFormat="1" applyFont="1" applyFill="1" applyBorder="1" applyAlignment="1">
      <alignment horizontal="center" vertical="center"/>
      <protection/>
    </xf>
    <xf numFmtId="2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40" fontId="4" fillId="0" borderId="0" xfId="55" applyNumberFormat="1" applyFont="1" applyFill="1" applyBorder="1" applyAlignment="1">
      <alignment horizontal="left" vertical="center" wrapText="1"/>
      <protection/>
    </xf>
    <xf numFmtId="2" fontId="0" fillId="0" borderId="0" xfId="0" applyNumberFormat="1" applyFill="1" applyAlignment="1">
      <alignment horizontal="center"/>
    </xf>
    <xf numFmtId="170" fontId="13" fillId="17" borderId="1" xfId="0" applyFont="1" applyFill="1" applyBorder="1" applyAlignment="1">
      <alignment horizontal="center" vertical="center"/>
    </xf>
    <xf numFmtId="170" fontId="4" fillId="18" borderId="1" xfId="0" applyFont="1" applyFill="1" applyBorder="1" applyAlignment="1">
      <alignment horizontal="center" vertical="center"/>
    </xf>
    <xf numFmtId="165" fontId="4" fillId="18" borderId="1" xfId="0" applyNumberFormat="1" applyFont="1" applyFill="1" applyBorder="1" applyAlignment="1">
      <alignment horizontal="center" vertical="center"/>
    </xf>
    <xf numFmtId="170" fontId="13" fillId="2" borderId="1" xfId="0" applyFont="1" applyFill="1" applyBorder="1" applyAlignment="1">
      <alignment vertical="center"/>
    </xf>
    <xf numFmtId="170" fontId="4" fillId="19" borderId="1" xfId="0" applyFont="1" applyFill="1" applyBorder="1" applyAlignment="1">
      <alignment horizontal="center" vertical="center"/>
    </xf>
    <xf numFmtId="165" fontId="4" fillId="19" borderId="1" xfId="0" applyNumberFormat="1" applyFont="1" applyFill="1" applyBorder="1" applyAlignment="1">
      <alignment horizontal="center" vertical="center"/>
    </xf>
    <xf numFmtId="170" fontId="13" fillId="2" borderId="1" xfId="0" applyFont="1" applyFill="1" applyBorder="1" applyAlignment="1">
      <alignment horizontal="center" vertical="center"/>
    </xf>
    <xf numFmtId="9" fontId="13" fillId="0" borderId="1" xfId="21" applyFont="1" applyBorder="1" applyAlignment="1">
      <alignment horizontal="center"/>
    </xf>
    <xf numFmtId="170" fontId="13" fillId="19" borderId="1" xfId="0" applyFont="1" applyFill="1" applyBorder="1" applyAlignment="1">
      <alignment horizontal="center" vertical="center"/>
    </xf>
    <xf numFmtId="170" fontId="13" fillId="2" borderId="37" xfId="0" applyFont="1" applyFill="1" applyBorder="1" applyAlignment="1">
      <alignment vertical="center"/>
    </xf>
    <xf numFmtId="170" fontId="4" fillId="19" borderId="7" xfId="0" applyFont="1" applyFill="1" applyBorder="1" applyAlignment="1">
      <alignment horizontal="center" vertical="center"/>
    </xf>
    <xf numFmtId="170" fontId="4" fillId="2" borderId="7" xfId="0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10" fontId="13" fillId="18" borderId="33" xfId="0" applyNumberFormat="1" applyFont="1" applyFill="1" applyBorder="1" applyAlignment="1">
      <alignment horizontal="center" vertical="center"/>
    </xf>
    <xf numFmtId="10" fontId="13" fillId="18" borderId="6" xfId="0" applyNumberFormat="1" applyFont="1" applyFill="1" applyBorder="1" applyAlignment="1">
      <alignment horizontal="center" vertical="center"/>
    </xf>
    <xf numFmtId="10" fontId="13" fillId="18" borderId="7" xfId="0" applyNumberFormat="1" applyFont="1" applyFill="1" applyBorder="1" applyAlignment="1">
      <alignment horizontal="center" vertical="center"/>
    </xf>
    <xf numFmtId="10" fontId="4" fillId="3" borderId="6" xfId="31" applyNumberFormat="1" applyFont="1" applyFill="1" applyBorder="1" applyAlignment="1">
      <alignment vertical="center"/>
      <protection/>
    </xf>
    <xf numFmtId="10" fontId="4" fillId="3" borderId="7" xfId="31" applyNumberFormat="1" applyFont="1" applyFill="1" applyBorder="1" applyAlignment="1">
      <alignment vertical="center"/>
      <protection/>
    </xf>
    <xf numFmtId="10" fontId="4" fillId="3" borderId="7" xfId="31" applyNumberFormat="1" applyFont="1" applyFill="1" applyBorder="1" applyAlignment="1">
      <alignment horizontal="left" vertical="center"/>
      <protection/>
    </xf>
    <xf numFmtId="170" fontId="4" fillId="5" borderId="33" xfId="31" applyFont="1" applyFill="1" applyBorder="1" applyAlignment="1">
      <alignment vertical="center"/>
      <protection/>
    </xf>
    <xf numFmtId="170" fontId="4" fillId="5" borderId="7" xfId="31" applyFont="1" applyFill="1" applyBorder="1" applyAlignment="1">
      <alignment vertical="center"/>
      <protection/>
    </xf>
    <xf numFmtId="10" fontId="4" fillId="3" borderId="6" xfId="31" applyNumberFormat="1" applyFont="1" applyFill="1" applyBorder="1" applyAlignment="1">
      <alignment horizontal="left" vertical="center"/>
      <protection/>
    </xf>
    <xf numFmtId="0" fontId="4" fillId="3" borderId="33" xfId="31" applyNumberFormat="1" applyFont="1" applyFill="1" applyBorder="1" applyAlignment="1">
      <alignment vertical="center"/>
      <protection/>
    </xf>
    <xf numFmtId="170" fontId="13" fillId="0" borderId="6" xfId="0" applyFont="1" applyBorder="1" applyAlignment="1">
      <alignment vertical="center" wrapText="1"/>
    </xf>
    <xf numFmtId="170" fontId="13" fillId="0" borderId="7" xfId="0" applyFont="1" applyBorder="1" applyAlignment="1">
      <alignment vertical="center" wrapText="1"/>
    </xf>
    <xf numFmtId="170" fontId="4" fillId="5" borderId="6" xfId="31" applyFont="1" applyFill="1" applyBorder="1" applyAlignment="1">
      <alignment vertical="center"/>
      <protection/>
    </xf>
    <xf numFmtId="10" fontId="4" fillId="3" borderId="33" xfId="31" applyNumberFormat="1" applyFont="1" applyFill="1" applyBorder="1" applyAlignment="1">
      <alignment horizontal="left" vertical="center"/>
      <protection/>
    </xf>
    <xf numFmtId="170" fontId="4" fillId="5" borderId="33" xfId="31" applyFont="1" applyFill="1" applyBorder="1" applyAlignment="1">
      <alignment horizontal="center" vertical="center"/>
      <protection/>
    </xf>
    <xf numFmtId="0" fontId="4" fillId="3" borderId="38" xfId="31" applyNumberFormat="1" applyFont="1" applyFill="1" applyBorder="1" applyAlignment="1">
      <alignment vertical="center" wrapText="1"/>
      <protection/>
    </xf>
    <xf numFmtId="0" fontId="4" fillId="3" borderId="39" xfId="31" applyNumberFormat="1" applyFont="1" applyFill="1" applyBorder="1" applyAlignment="1">
      <alignment vertical="center" wrapText="1"/>
      <protection/>
    </xf>
    <xf numFmtId="0" fontId="4" fillId="3" borderId="34" xfId="31" applyNumberFormat="1" applyFont="1" applyFill="1" applyBorder="1" applyAlignment="1">
      <alignment vertical="center" wrapText="1"/>
      <protection/>
    </xf>
    <xf numFmtId="0" fontId="4" fillId="3" borderId="40" xfId="31" applyNumberFormat="1" applyFont="1" applyFill="1" applyBorder="1" applyAlignment="1">
      <alignment vertical="center" wrapText="1"/>
      <protection/>
    </xf>
    <xf numFmtId="174" fontId="4" fillId="3" borderId="38" xfId="0" applyNumberFormat="1" applyFont="1" applyFill="1" applyBorder="1" applyAlignment="1" applyProtection="1">
      <alignment vertical="center"/>
      <protection/>
    </xf>
    <xf numFmtId="174" fontId="4" fillId="3" borderId="41" xfId="0" applyNumberFormat="1" applyFont="1" applyFill="1" applyBorder="1" applyAlignment="1" applyProtection="1">
      <alignment vertical="center"/>
      <protection/>
    </xf>
    <xf numFmtId="174" fontId="4" fillId="3" borderId="34" xfId="0" applyNumberFormat="1" applyFont="1" applyFill="1" applyBorder="1" applyAlignment="1" applyProtection="1">
      <alignment vertical="center"/>
      <protection/>
    </xf>
    <xf numFmtId="174" fontId="4" fillId="3" borderId="35" xfId="0" applyNumberFormat="1" applyFont="1" applyFill="1" applyBorder="1" applyAlignment="1" applyProtection="1">
      <alignment vertical="center"/>
      <protection/>
    </xf>
    <xf numFmtId="170" fontId="0" fillId="0" borderId="0" xfId="0" applyFont="1" applyFill="1"/>
    <xf numFmtId="40" fontId="4" fillId="0" borderId="0" xfId="55" applyNumberFormat="1" applyFont="1" applyFill="1" applyBorder="1" applyAlignment="1">
      <alignment vertical="center"/>
      <protection/>
    </xf>
    <xf numFmtId="170" fontId="16" fillId="4" borderId="33" xfId="31" applyFont="1" applyFill="1" applyBorder="1" applyAlignment="1">
      <alignment vertical="center" wrapText="1"/>
      <protection/>
    </xf>
    <xf numFmtId="170" fontId="16" fillId="4" borderId="6" xfId="31" applyFont="1" applyFill="1" applyBorder="1" applyAlignment="1">
      <alignment vertical="center" wrapText="1"/>
      <protection/>
    </xf>
    <xf numFmtId="170" fontId="16" fillId="4" borderId="7" xfId="31" applyFont="1" applyFill="1" applyBorder="1" applyAlignment="1">
      <alignment vertical="center" wrapText="1"/>
      <protection/>
    </xf>
    <xf numFmtId="170" fontId="4" fillId="5" borderId="36" xfId="31" applyFont="1" applyFill="1" applyBorder="1" applyAlignment="1">
      <alignment vertical="center"/>
      <protection/>
    </xf>
    <xf numFmtId="170" fontId="16" fillId="4" borderId="33" xfId="31" applyFont="1" applyFill="1" applyBorder="1" applyAlignment="1">
      <alignment vertical="center"/>
      <protection/>
    </xf>
    <xf numFmtId="170" fontId="16" fillId="4" borderId="6" xfId="31" applyFont="1" applyFill="1" applyBorder="1" applyAlignment="1">
      <alignment vertical="center"/>
      <protection/>
    </xf>
    <xf numFmtId="170" fontId="16" fillId="4" borderId="7" xfId="31" applyFont="1" applyFill="1" applyBorder="1" applyAlignment="1">
      <alignment vertical="center"/>
      <protection/>
    </xf>
    <xf numFmtId="2" fontId="0" fillId="0" borderId="0" xfId="0" applyNumberFormat="1" applyFont="1" applyBorder="1" applyAlignment="1">
      <alignment horizontal="center" vertical="center" wrapText="1"/>
    </xf>
    <xf numFmtId="170" fontId="2" fillId="0" borderId="0" xfId="0" applyFont="1" applyBorder="1" applyAlignment="1">
      <alignment horizontal="center" vertical="center"/>
    </xf>
    <xf numFmtId="170" fontId="0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0" fontId="0" fillId="0" borderId="0" xfId="0" applyFont="1" applyBorder="1" applyAlignment="1">
      <alignment horizontal="center" vertical="center" wrapText="1"/>
    </xf>
    <xf numFmtId="170" fontId="0" fillId="0" borderId="0" xfId="0" applyFont="1" applyBorder="1" applyAlignment="1">
      <alignment horizontal="right" vertical="center" wrapText="1"/>
    </xf>
    <xf numFmtId="170" fontId="14" fillId="0" borderId="0" xfId="44" applyFont="1" applyFill="1" applyAlignment="1">
      <alignment horizontal="left" vertical="center" wrapText="1"/>
      <protection/>
    </xf>
    <xf numFmtId="2" fontId="4" fillId="0" borderId="0" xfId="55" applyNumberFormat="1" applyFont="1" applyFill="1" applyBorder="1" applyAlignment="1">
      <alignment horizontal="left" vertical="center"/>
      <protection/>
    </xf>
    <xf numFmtId="2" fontId="13" fillId="0" borderId="0" xfId="55" applyNumberFormat="1" applyFont="1" applyFill="1" applyBorder="1" applyAlignment="1">
      <alignment horizontal="left" vertical="center"/>
      <protection/>
    </xf>
    <xf numFmtId="2" fontId="13" fillId="0" borderId="0" xfId="0" applyNumberFormat="1" applyFont="1" applyFill="1" applyAlignment="1">
      <alignment vertical="center"/>
    </xf>
    <xf numFmtId="2" fontId="13" fillId="0" borderId="1" xfId="55" applyNumberFormat="1" applyFont="1" applyFill="1" applyBorder="1" applyAlignment="1">
      <alignment horizontal="center" vertical="center"/>
      <protection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13" fillId="0" borderId="0" xfId="55" applyNumberFormat="1" applyFont="1" applyFill="1" applyAlignment="1">
      <alignment horizontal="center" vertical="center"/>
      <protection/>
    </xf>
    <xf numFmtId="2" fontId="13" fillId="0" borderId="0" xfId="55" applyNumberFormat="1" applyFont="1" applyFill="1" applyAlignment="1">
      <alignment horizontal="left" vertical="center"/>
      <protection/>
    </xf>
    <xf numFmtId="170" fontId="14" fillId="0" borderId="0" xfId="44" applyFont="1" applyFill="1" applyBorder="1" applyAlignment="1">
      <alignment vertical="center"/>
      <protection/>
    </xf>
    <xf numFmtId="0" fontId="9" fillId="0" borderId="0" xfId="44" applyNumberFormat="1" applyFont="1" applyFill="1" applyBorder="1" applyAlignment="1">
      <alignment horizontal="center" vertical="center"/>
      <protection/>
    </xf>
    <xf numFmtId="170" fontId="9" fillId="0" borderId="0" xfId="44" applyFont="1" applyFill="1" applyBorder="1" applyAlignment="1">
      <alignment vertical="center"/>
      <protection/>
    </xf>
    <xf numFmtId="2" fontId="13" fillId="0" borderId="0" xfId="42" applyNumberFormat="1" applyFont="1" applyFill="1" applyAlignment="1">
      <alignment vertical="center"/>
      <protection/>
    </xf>
    <xf numFmtId="2" fontId="13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170" fontId="27" fillId="0" borderId="0" xfId="0" applyFont="1" applyFill="1"/>
    <xf numFmtId="170" fontId="0" fillId="0" borderId="0" xfId="0" applyFont="1" applyFill="1" applyAlignment="1">
      <alignment horizontal="center"/>
    </xf>
    <xf numFmtId="170" fontId="0" fillId="0" borderId="1" xfId="0" applyBorder="1" applyAlignment="1">
      <alignment/>
    </xf>
    <xf numFmtId="170" fontId="4" fillId="0" borderId="0" xfId="0" applyFont="1" applyFill="1"/>
    <xf numFmtId="10" fontId="2" fillId="12" borderId="7" xfId="20" applyNumberFormat="1" applyFont="1" applyFill="1" applyBorder="1" applyAlignment="1">
      <alignment horizontal="center" vertical="center" wrapText="1"/>
    </xf>
    <xf numFmtId="40" fontId="4" fillId="3" borderId="0" xfId="55" applyNumberFormat="1" applyFont="1" applyFill="1" applyBorder="1" applyAlignment="1">
      <alignment horizontal="left" vertical="center" wrapText="1"/>
      <protection/>
    </xf>
    <xf numFmtId="170" fontId="0" fillId="0" borderId="0" xfId="0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170" fontId="0" fillId="0" borderId="0" xfId="0" applyFont="1" applyBorder="1" applyAlignment="1">
      <alignment vertical="center" wrapText="1"/>
    </xf>
    <xf numFmtId="169" fontId="2" fillId="0" borderId="0" xfId="0" applyNumberFormat="1" applyFont="1" applyBorder="1" applyAlignment="1">
      <alignment horizontal="center" vertical="center" wrapText="1"/>
    </xf>
    <xf numFmtId="174" fontId="4" fillId="5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4" fillId="5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0" fontId="0" fillId="0" borderId="0" xfId="0" applyFont="1" applyAlignment="1">
      <alignment horizontal="center" vertical="center" wrapText="1"/>
    </xf>
    <xf numFmtId="170" fontId="2" fillId="3" borderId="0" xfId="0" applyFont="1" applyFill="1" applyBorder="1" applyAlignment="1">
      <alignment horizontal="center" vertical="center"/>
    </xf>
    <xf numFmtId="44" fontId="0" fillId="0" borderId="0" xfId="33" applyFont="1" applyBorder="1" applyAlignment="1">
      <alignment horizontal="center" vertical="center"/>
    </xf>
    <xf numFmtId="9" fontId="2" fillId="16" borderId="1" xfId="21" applyNumberFormat="1" applyFont="1" applyFill="1" applyBorder="1" applyAlignment="1">
      <alignment horizontal="center" vertical="center" wrapText="1"/>
    </xf>
    <xf numFmtId="0" fontId="2" fillId="3" borderId="1" xfId="31" applyNumberFormat="1" applyFont="1" applyFill="1" applyBorder="1" applyAlignment="1">
      <alignment horizontal="justify" vertical="center"/>
      <protection/>
    </xf>
    <xf numFmtId="49" fontId="2" fillId="16" borderId="1" xfId="0" applyNumberFormat="1" applyFont="1" applyFill="1" applyBorder="1" applyAlignment="1">
      <alignment horizontal="justify" vertical="center" wrapText="1"/>
    </xf>
    <xf numFmtId="170" fontId="2" fillId="12" borderId="6" xfId="0" applyFont="1" applyFill="1" applyBorder="1" applyAlignment="1">
      <alignment horizontal="justify" vertical="center" wrapText="1"/>
    </xf>
    <xf numFmtId="170" fontId="2" fillId="12" borderId="6" xfId="0" applyFont="1" applyFill="1" applyBorder="1" applyAlignment="1">
      <alignment horizontal="justify" vertical="center"/>
    </xf>
    <xf numFmtId="170" fontId="2" fillId="0" borderId="1" xfId="0" applyFont="1" applyFill="1" applyBorder="1" applyAlignment="1">
      <alignment horizontal="justify" vertical="center" wrapText="1"/>
    </xf>
    <xf numFmtId="170" fontId="0" fillId="0" borderId="0" xfId="0" applyFont="1" applyAlignment="1">
      <alignment horizontal="justify" vertical="center" wrapText="1"/>
    </xf>
    <xf numFmtId="10" fontId="2" fillId="12" borderId="1" xfId="21" applyNumberFormat="1" applyFont="1" applyFill="1" applyBorder="1" applyAlignment="1">
      <alignment horizontal="center" vertical="center" wrapText="1"/>
    </xf>
    <xf numFmtId="170" fontId="2" fillId="0" borderId="0" xfId="0" applyFont="1" applyBorder="1" applyAlignment="1">
      <alignment horizontal="center" vertical="center" wrapText="1"/>
    </xf>
    <xf numFmtId="44" fontId="28" fillId="0" borderId="0" xfId="33" applyFont="1" applyBorder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13" fillId="0" borderId="0" xfId="0" applyNumberFormat="1" applyFont="1" applyFill="1" applyAlignment="1">
      <alignment vertical="center" wrapText="1"/>
    </xf>
    <xf numFmtId="170" fontId="0" fillId="0" borderId="0" xfId="0" applyFont="1" applyFill="1" applyAlignment="1">
      <alignment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70" fontId="2" fillId="0" borderId="0" xfId="0" applyFont="1" applyFill="1" applyAlignment="1">
      <alignment vertical="center" wrapText="1"/>
    </xf>
    <xf numFmtId="170" fontId="4" fillId="0" borderId="0" xfId="0" applyFont="1" applyAlignment="1">
      <alignment vertical="center" wrapText="1"/>
    </xf>
    <xf numFmtId="170" fontId="2" fillId="0" borderId="38" xfId="0" applyFont="1" applyBorder="1" applyAlignment="1">
      <alignment horizontal="center" vertical="center" wrapText="1"/>
    </xf>
    <xf numFmtId="169" fontId="0" fillId="0" borderId="39" xfId="33" applyNumberFormat="1" applyFont="1" applyBorder="1" applyAlignment="1">
      <alignment horizontal="right" vertical="center" wrapText="1"/>
    </xf>
    <xf numFmtId="170" fontId="2" fillId="0" borderId="42" xfId="0" applyFont="1" applyBorder="1" applyAlignment="1">
      <alignment horizontal="center" vertical="center" wrapText="1"/>
    </xf>
    <xf numFmtId="7" fontId="2" fillId="0" borderId="40" xfId="33" applyNumberFormat="1" applyFont="1" applyBorder="1" applyAlignment="1">
      <alignment horizontal="right" vertical="center" wrapText="1"/>
    </xf>
    <xf numFmtId="170" fontId="0" fillId="0" borderId="34" xfId="0" applyFont="1" applyBorder="1" applyAlignment="1">
      <alignment horizontal="center" vertical="center" wrapText="1"/>
    </xf>
    <xf numFmtId="169" fontId="2" fillId="0" borderId="40" xfId="33" applyNumberFormat="1" applyFont="1" applyBorder="1" applyAlignment="1">
      <alignment horizontal="center" vertical="center" wrapText="1"/>
    </xf>
    <xf numFmtId="170" fontId="10" fillId="0" borderId="33" xfId="0" applyFont="1" applyFill="1" applyBorder="1" applyAlignment="1">
      <alignment vertical="center"/>
    </xf>
    <xf numFmtId="170" fontId="10" fillId="0" borderId="6" xfId="0" applyFont="1" applyFill="1" applyBorder="1" applyAlignment="1">
      <alignment vertical="center"/>
    </xf>
    <xf numFmtId="44" fontId="10" fillId="0" borderId="7" xfId="33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70" fontId="2" fillId="5" borderId="33" xfId="0" applyFont="1" applyFill="1" applyBorder="1" applyAlignment="1">
      <alignment vertical="center" wrapText="1"/>
    </xf>
    <xf numFmtId="170" fontId="2" fillId="5" borderId="6" xfId="0" applyFont="1" applyFill="1" applyBorder="1" applyAlignment="1">
      <alignment vertical="center" wrapText="1"/>
    </xf>
    <xf numFmtId="40" fontId="4" fillId="0" borderId="0" xfId="0" applyNumberFormat="1" applyFont="1" applyFill="1" applyBorder="1" applyAlignment="1">
      <alignment horizontal="left" vertical="top"/>
    </xf>
    <xf numFmtId="40" fontId="4" fillId="0" borderId="0" xfId="0" applyNumberFormat="1" applyFont="1" applyFill="1" applyBorder="1" applyAlignment="1">
      <alignment horizontal="center" vertical="top"/>
    </xf>
    <xf numFmtId="170" fontId="18" fillId="12" borderId="6" xfId="0" applyFont="1" applyFill="1" applyBorder="1" applyAlignment="1">
      <alignment vertical="center"/>
    </xf>
    <xf numFmtId="170" fontId="18" fillId="12" borderId="7" xfId="0" applyFont="1" applyFill="1" applyBorder="1" applyAlignment="1">
      <alignment vertical="center"/>
    </xf>
    <xf numFmtId="40" fontId="13" fillId="0" borderId="33" xfId="0" applyNumberFormat="1" applyFont="1" applyFill="1" applyBorder="1" applyAlignment="1">
      <alignment horizontal="center"/>
    </xf>
    <xf numFmtId="170" fontId="13" fillId="0" borderId="7" xfId="24" applyFont="1" applyFill="1" applyBorder="1" applyAlignment="1">
      <alignment horizontal="center" vertical="center"/>
      <protection/>
    </xf>
    <xf numFmtId="2" fontId="1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justify" vertical="center" wrapText="1"/>
    </xf>
    <xf numFmtId="170" fontId="0" fillId="0" borderId="1" xfId="0" applyFont="1" applyFill="1" applyBorder="1" applyAlignment="1">
      <alignment horizontal="center" vertical="center" wrapText="1"/>
    </xf>
    <xf numFmtId="2" fontId="0" fillId="0" borderId="1" xfId="20" applyNumberFormat="1" applyFont="1" applyFill="1" applyBorder="1" applyAlignment="1">
      <alignment horizontal="center" vertical="center" wrapText="1"/>
    </xf>
    <xf numFmtId="169" fontId="0" fillId="0" borderId="1" xfId="20" applyNumberFormat="1" applyFont="1" applyFill="1" applyBorder="1" applyAlignment="1">
      <alignment horizontal="center" vertical="center" wrapText="1"/>
    </xf>
    <xf numFmtId="170" fontId="12" fillId="0" borderId="1" xfId="0" applyFont="1" applyFill="1" applyBorder="1" applyAlignment="1">
      <alignment horizontal="center" vertical="center"/>
    </xf>
    <xf numFmtId="169" fontId="0" fillId="0" borderId="1" xfId="18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0" fontId="0" fillId="0" borderId="1" xfId="0" applyFont="1" applyFill="1" applyBorder="1" applyAlignment="1">
      <alignment horizontal="justify" vertical="center" wrapText="1"/>
    </xf>
    <xf numFmtId="170" fontId="4" fillId="5" borderId="6" xfId="31" applyFont="1" applyFill="1" applyBorder="1" applyAlignment="1">
      <alignment vertical="center" wrapText="1"/>
      <protection/>
    </xf>
    <xf numFmtId="0" fontId="4" fillId="0" borderId="0" xfId="31" applyNumberFormat="1" applyFont="1" applyFill="1" applyBorder="1" applyAlignment="1">
      <alignment horizontal="center" vertical="center" wrapText="1"/>
      <protection/>
    </xf>
    <xf numFmtId="170" fontId="4" fillId="0" borderId="0" xfId="31" applyFont="1" applyFill="1" applyBorder="1" applyAlignment="1">
      <alignment vertical="center"/>
      <protection/>
    </xf>
    <xf numFmtId="170" fontId="4" fillId="0" borderId="0" xfId="31" applyFont="1" applyFill="1" applyBorder="1" applyAlignment="1">
      <alignment vertical="center" wrapText="1"/>
      <protection/>
    </xf>
    <xf numFmtId="170" fontId="13" fillId="0" borderId="0" xfId="0" applyFont="1" applyBorder="1" applyAlignment="1">
      <alignment vertical="center" wrapText="1"/>
    </xf>
    <xf numFmtId="170" fontId="2" fillId="0" borderId="33" xfId="0" applyFont="1" applyFill="1" applyBorder="1" applyAlignment="1">
      <alignment horizontal="center" vertical="center" wrapText="1"/>
    </xf>
    <xf numFmtId="170" fontId="2" fillId="0" borderId="6" xfId="0" applyFont="1" applyFill="1" applyBorder="1" applyAlignment="1">
      <alignment horizontal="center" vertical="center" wrapText="1"/>
    </xf>
    <xf numFmtId="44" fontId="12" fillId="0" borderId="1" xfId="33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169" fontId="0" fillId="0" borderId="29" xfId="18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170" fontId="0" fillId="0" borderId="1" xfId="0" applyFont="1" applyFill="1" applyBorder="1" applyAlignment="1">
      <alignment vertical="center" wrapText="1"/>
    </xf>
    <xf numFmtId="170" fontId="25" fillId="0" borderId="1" xfId="0" applyFont="1" applyFill="1" applyBorder="1" applyAlignment="1">
      <alignment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0" fontId="0" fillId="0" borderId="1" xfId="59" applyNumberFormat="1" applyFont="1" applyFill="1" applyBorder="1" applyAlignment="1">
      <alignment horizontal="center" vertical="center"/>
      <protection/>
    </xf>
    <xf numFmtId="39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69" fontId="0" fillId="0" borderId="1" xfId="20" applyNumberFormat="1" applyFont="1" applyFill="1" applyBorder="1" applyAlignment="1">
      <alignment horizontal="center" vertical="center"/>
    </xf>
    <xf numFmtId="0" fontId="0" fillId="0" borderId="1" xfId="59" applyNumberFormat="1" applyFont="1" applyFill="1" applyBorder="1" applyAlignment="1" applyProtection="1">
      <alignment horizontal="center" vertical="center" wrapText="1"/>
      <protection/>
    </xf>
    <xf numFmtId="0" fontId="24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169" fontId="0" fillId="0" borderId="1" xfId="33" applyNumberFormat="1" applyFont="1" applyFill="1" applyBorder="1" applyAlignment="1">
      <alignment horizontal="center" vertical="center" wrapText="1"/>
    </xf>
    <xf numFmtId="169" fontId="0" fillId="0" borderId="1" xfId="33" applyNumberFormat="1" applyFont="1" applyFill="1" applyBorder="1" applyAlignment="1">
      <alignment horizontal="center" vertical="center"/>
    </xf>
    <xf numFmtId="170" fontId="12" fillId="0" borderId="1" xfId="0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175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70" fontId="12" fillId="0" borderId="29" xfId="0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170" fontId="12" fillId="0" borderId="29" xfId="0" applyFont="1" applyFill="1" applyBorder="1" applyAlignment="1">
      <alignment horizontal="center" vertical="center"/>
    </xf>
    <xf numFmtId="175" fontId="12" fillId="0" borderId="29" xfId="0" applyNumberFormat="1" applyFont="1" applyFill="1" applyBorder="1" applyAlignment="1">
      <alignment horizontal="center" vertical="center"/>
    </xf>
    <xf numFmtId="44" fontId="12" fillId="0" borderId="29" xfId="33" applyFont="1" applyFill="1" applyBorder="1" applyAlignment="1">
      <alignment horizontal="center" vertical="center"/>
    </xf>
    <xf numFmtId="170" fontId="10" fillId="0" borderId="7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170" fontId="13" fillId="0" borderId="1" xfId="0" applyFont="1" applyFill="1" applyBorder="1" applyAlignment="1">
      <alignment horizontal="center" vertical="center"/>
    </xf>
    <xf numFmtId="40" fontId="13" fillId="0" borderId="1" xfId="0" applyNumberFormat="1" applyFont="1" applyFill="1" applyBorder="1" applyAlignment="1">
      <alignment horizontal="center" vertical="center"/>
    </xf>
    <xf numFmtId="8" fontId="13" fillId="0" borderId="1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170" fontId="13" fillId="0" borderId="29" xfId="0" applyFont="1" applyFill="1" applyBorder="1" applyAlignment="1">
      <alignment horizontal="center" vertical="center"/>
    </xf>
    <xf numFmtId="40" fontId="13" fillId="0" borderId="29" xfId="0" applyNumberFormat="1" applyFont="1" applyFill="1" applyBorder="1" applyAlignment="1">
      <alignment horizontal="center" vertical="center"/>
    </xf>
    <xf numFmtId="8" fontId="13" fillId="0" borderId="29" xfId="0" applyNumberFormat="1" applyFont="1" applyFill="1" applyBorder="1" applyAlignment="1">
      <alignment horizontal="center" vertical="center"/>
    </xf>
    <xf numFmtId="44" fontId="10" fillId="0" borderId="7" xfId="33" applyNumberFormat="1" applyFont="1" applyFill="1" applyBorder="1" applyAlignment="1">
      <alignment horizontal="center" vertical="center"/>
    </xf>
    <xf numFmtId="170" fontId="13" fillId="0" borderId="6" xfId="0" applyFont="1" applyFill="1" applyBorder="1" applyAlignment="1">
      <alignment vertical="center" wrapText="1"/>
    </xf>
    <xf numFmtId="170" fontId="13" fillId="0" borderId="7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0" fontId="13" fillId="0" borderId="1" xfId="59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>
      <alignment horizontal="center" vertical="center"/>
    </xf>
    <xf numFmtId="2" fontId="13" fillId="0" borderId="29" xfId="0" applyNumberFormat="1" applyFont="1" applyFill="1" applyBorder="1" applyAlignment="1">
      <alignment horizontal="center" vertical="center"/>
    </xf>
    <xf numFmtId="169" fontId="13" fillId="0" borderId="29" xfId="0" applyNumberFormat="1" applyFont="1" applyFill="1" applyBorder="1" applyAlignment="1">
      <alignment horizontal="center" vertical="center"/>
    </xf>
    <xf numFmtId="2" fontId="13" fillId="0" borderId="33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/>
    </xf>
    <xf numFmtId="2" fontId="13" fillId="0" borderId="6" xfId="0" applyNumberFormat="1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169" fontId="4" fillId="0" borderId="7" xfId="0" applyNumberFormat="1" applyFont="1" applyFill="1" applyBorder="1" applyAlignment="1">
      <alignment horizontal="center" vertical="center"/>
    </xf>
    <xf numFmtId="17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9" fontId="0" fillId="0" borderId="29" xfId="20" applyNumberFormat="1" applyFont="1" applyFill="1" applyBorder="1" applyAlignment="1">
      <alignment horizontal="center" vertical="center" wrapText="1"/>
    </xf>
    <xf numFmtId="10" fontId="0" fillId="0" borderId="1" xfId="21" applyNumberFormat="1" applyFont="1" applyFill="1" applyBorder="1" applyAlignment="1" quotePrefix="1">
      <alignment horizontal="center" vertical="center" wrapText="1"/>
    </xf>
    <xf numFmtId="170" fontId="0" fillId="0" borderId="29" xfId="0" applyFont="1" applyFill="1" applyBorder="1" applyAlignment="1">
      <alignment horizontal="center" vertical="center" wrapText="1"/>
    </xf>
    <xf numFmtId="170" fontId="0" fillId="0" borderId="29" xfId="0" applyFont="1" applyFill="1" applyBorder="1" applyAlignment="1">
      <alignment horizontal="justify" vertical="center" wrapText="1"/>
    </xf>
    <xf numFmtId="2" fontId="0" fillId="0" borderId="29" xfId="20" applyNumberFormat="1" applyFont="1" applyFill="1" applyBorder="1" applyAlignment="1">
      <alignment horizontal="center" vertical="center" wrapText="1"/>
    </xf>
    <xf numFmtId="170" fontId="18" fillId="12" borderId="38" xfId="0" applyFont="1" applyFill="1" applyBorder="1" applyAlignment="1">
      <alignment vertical="center"/>
    </xf>
    <xf numFmtId="170" fontId="18" fillId="12" borderId="41" xfId="0" applyFont="1" applyFill="1" applyBorder="1" applyAlignment="1">
      <alignment vertical="center"/>
    </xf>
    <xf numFmtId="0" fontId="23" fillId="0" borderId="29" xfId="0" applyNumberFormat="1" applyFont="1" applyFill="1" applyBorder="1" applyAlignment="1">
      <alignment horizontal="center" vertical="center"/>
    </xf>
    <xf numFmtId="1" fontId="4" fillId="5" borderId="1" xfId="31" applyNumberFormat="1" applyFont="1" applyFill="1" applyBorder="1" applyAlignment="1">
      <alignment horizontal="center" vertical="center" wrapText="1"/>
      <protection/>
    </xf>
    <xf numFmtId="170" fontId="4" fillId="5" borderId="7" xfId="31" applyFont="1" applyFill="1" applyBorder="1" applyAlignment="1">
      <alignment vertical="center" wrapText="1"/>
      <protection/>
    </xf>
    <xf numFmtId="40" fontId="0" fillId="0" borderId="1" xfId="20" applyNumberFormat="1" applyFont="1" applyFill="1" applyBorder="1" applyAlignment="1">
      <alignment horizontal="center" vertical="center" wrapText="1"/>
    </xf>
    <xf numFmtId="40" fontId="0" fillId="0" borderId="29" xfId="20" applyNumberFormat="1" applyFont="1" applyFill="1" applyBorder="1" applyAlignment="1">
      <alignment horizontal="center" vertical="center" wrapText="1"/>
    </xf>
    <xf numFmtId="0" fontId="0" fillId="0" borderId="1" xfId="59" applyFont="1" applyFill="1" applyBorder="1" applyAlignment="1">
      <alignment horizontal="justify" vertical="center"/>
      <protection/>
    </xf>
    <xf numFmtId="1" fontId="4" fillId="5" borderId="33" xfId="33" applyNumberFormat="1" applyFont="1" applyFill="1" applyBorder="1" applyAlignment="1">
      <alignment horizontal="center" vertical="center" wrapText="1"/>
    </xf>
    <xf numFmtId="170" fontId="0" fillId="0" borderId="1" xfId="0" applyFont="1" applyBorder="1" applyAlignment="1">
      <alignment/>
    </xf>
    <xf numFmtId="0" fontId="0" fillId="0" borderId="1" xfId="59" applyFont="1" applyFill="1" applyBorder="1" applyAlignment="1">
      <alignment horizontal="justify" vertical="center" wrapText="1"/>
      <protection/>
    </xf>
    <xf numFmtId="170" fontId="2" fillId="3" borderId="34" xfId="0" applyFont="1" applyFill="1" applyBorder="1" applyAlignment="1">
      <alignment horizontal="right" vertical="center" wrapText="1"/>
    </xf>
    <xf numFmtId="170" fontId="2" fillId="3" borderId="35" xfId="0" applyFont="1" applyFill="1" applyBorder="1" applyAlignment="1">
      <alignment horizontal="right" vertical="center" wrapText="1"/>
    </xf>
    <xf numFmtId="170" fontId="2" fillId="3" borderId="35" xfId="0" applyFont="1" applyFill="1" applyBorder="1" applyAlignment="1">
      <alignment horizontal="justify" vertical="center" wrapText="1"/>
    </xf>
    <xf numFmtId="170" fontId="2" fillId="3" borderId="35" xfId="0" applyFont="1" applyFill="1" applyBorder="1" applyAlignment="1">
      <alignment horizontal="center" vertical="center" wrapText="1"/>
    </xf>
    <xf numFmtId="169" fontId="2" fillId="3" borderId="6" xfId="20" applyNumberFormat="1" applyFont="1" applyFill="1" applyBorder="1" applyAlignment="1">
      <alignment horizontal="center" vertical="center" wrapText="1"/>
    </xf>
    <xf numFmtId="10" fontId="0" fillId="3" borderId="6" xfId="21" applyNumberFormat="1" applyFont="1" applyFill="1" applyBorder="1" applyAlignment="1">
      <alignment horizontal="center" vertical="center" wrapText="1"/>
    </xf>
    <xf numFmtId="170" fontId="2" fillId="0" borderId="33" xfId="0" applyFont="1" applyFill="1" applyBorder="1" applyAlignment="1">
      <alignment vertical="center" wrapText="1"/>
    </xf>
    <xf numFmtId="170" fontId="2" fillId="0" borderId="6" xfId="0" applyFont="1" applyFill="1" applyBorder="1" applyAlignment="1">
      <alignment vertical="center" wrapText="1"/>
    </xf>
    <xf numFmtId="170" fontId="2" fillId="0" borderId="6" xfId="0" applyFont="1" applyFill="1" applyBorder="1" applyAlignment="1">
      <alignment horizontal="justify" vertical="center" wrapText="1"/>
    </xf>
    <xf numFmtId="169" fontId="2" fillId="0" borderId="6" xfId="20" applyNumberFormat="1" applyFont="1" applyFill="1" applyBorder="1" applyAlignment="1">
      <alignment horizontal="center" vertical="center" wrapText="1"/>
    </xf>
    <xf numFmtId="10" fontId="0" fillId="0" borderId="6" xfId="21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right" vertical="center" wrapText="1"/>
    </xf>
    <xf numFmtId="0" fontId="2" fillId="3" borderId="6" xfId="0" applyNumberFormat="1" applyFont="1" applyFill="1" applyBorder="1" applyAlignment="1">
      <alignment horizontal="right" vertical="center" wrapText="1"/>
    </xf>
    <xf numFmtId="1" fontId="2" fillId="3" borderId="6" xfId="0" applyNumberFormat="1" applyFont="1" applyFill="1" applyBorder="1" applyAlignment="1">
      <alignment horizontal="justify" vertical="center" wrapText="1"/>
    </xf>
    <xf numFmtId="1" fontId="2" fillId="3" borderId="6" xfId="0" applyNumberFormat="1" applyFont="1" applyFill="1" applyBorder="1" applyAlignment="1">
      <alignment horizontal="right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70" fontId="2" fillId="3" borderId="6" xfId="0" applyFont="1" applyFill="1" applyBorder="1" applyAlignment="1">
      <alignment horizontal="center" vertical="center" wrapText="1"/>
    </xf>
    <xf numFmtId="169" fontId="2" fillId="3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0" fontId="2" fillId="0" borderId="6" xfId="0" applyFont="1" applyFill="1" applyBorder="1" applyAlignment="1">
      <alignment horizontal="right" vertical="center" wrapText="1"/>
    </xf>
    <xf numFmtId="0" fontId="2" fillId="0" borderId="6" xfId="20" applyNumberFormat="1" applyFont="1" applyFill="1" applyBorder="1" applyAlignment="1">
      <alignment horizontal="center" vertical="center" wrapText="1"/>
    </xf>
    <xf numFmtId="164" fontId="2" fillId="0" borderId="6" xfId="20" applyFont="1" applyFill="1" applyBorder="1" applyAlignment="1">
      <alignment horizontal="center" vertical="center" wrapText="1"/>
    </xf>
    <xf numFmtId="10" fontId="0" fillId="0" borderId="6" xfId="0" applyNumberFormat="1" applyFont="1" applyBorder="1" applyAlignment="1">
      <alignment horizontal="center" vertical="center" wrapText="1"/>
    </xf>
    <xf numFmtId="170" fontId="4" fillId="0" borderId="0" xfId="0" applyFont="1" applyBorder="1" applyAlignment="1">
      <alignment vertical="center" wrapText="1"/>
    </xf>
    <xf numFmtId="170" fontId="0" fillId="3" borderId="35" xfId="0" applyFont="1" applyFill="1" applyBorder="1" applyAlignment="1">
      <alignment horizontal="center" vertical="center" wrapText="1"/>
    </xf>
    <xf numFmtId="170" fontId="0" fillId="3" borderId="6" xfId="0" applyFont="1" applyFill="1" applyBorder="1" applyAlignment="1">
      <alignment horizontal="center" vertical="center" wrapText="1"/>
    </xf>
    <xf numFmtId="1" fontId="2" fillId="5" borderId="33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11" fontId="2" fillId="5" borderId="33" xfId="0" applyNumberFormat="1" applyFont="1" applyFill="1" applyBorder="1" applyAlignment="1">
      <alignment horizontal="justify" vertical="center" wrapText="1"/>
    </xf>
    <xf numFmtId="11" fontId="2" fillId="5" borderId="6" xfId="0" applyNumberFormat="1" applyFont="1" applyFill="1" applyBorder="1" applyAlignment="1">
      <alignment vertical="center" wrapText="1"/>
    </xf>
    <xf numFmtId="10" fontId="0" fillId="5" borderId="7" xfId="21" applyNumberFormat="1" applyFont="1" applyFill="1" applyBorder="1" applyAlignment="1">
      <alignment horizontal="center" vertical="center" wrapText="1"/>
    </xf>
    <xf numFmtId="49" fontId="2" fillId="12" borderId="33" xfId="24" applyNumberFormat="1" applyFont="1" applyFill="1" applyBorder="1" applyAlignment="1" applyProtection="1">
      <alignment horizontal="justify" vertical="center" wrapText="1"/>
      <protection/>
    </xf>
    <xf numFmtId="170" fontId="2" fillId="12" borderId="6" xfId="0" applyFont="1" applyFill="1" applyBorder="1" applyAlignment="1">
      <alignment horizontal="right" vertical="center" wrapText="1"/>
    </xf>
    <xf numFmtId="0" fontId="2" fillId="12" borderId="6" xfId="0" applyNumberFormat="1" applyFont="1" applyFill="1" applyBorder="1" applyAlignment="1">
      <alignment horizontal="center" vertical="center" wrapText="1"/>
    </xf>
    <xf numFmtId="170" fontId="2" fillId="12" borderId="6" xfId="0" applyFont="1" applyFill="1" applyBorder="1" applyAlignment="1">
      <alignment horizontal="center" vertical="center" wrapText="1"/>
    </xf>
    <xf numFmtId="169" fontId="2" fillId="12" borderId="6" xfId="0" applyNumberFormat="1" applyFont="1" applyFill="1" applyBorder="1" applyAlignment="1">
      <alignment horizontal="center" vertical="center" wrapText="1"/>
    </xf>
    <xf numFmtId="169" fontId="2" fillId="12" borderId="6" xfId="20" applyNumberFormat="1" applyFont="1" applyFill="1" applyBorder="1" applyAlignment="1">
      <alignment horizontal="center" vertical="center" wrapText="1"/>
    </xf>
    <xf numFmtId="10" fontId="0" fillId="12" borderId="7" xfId="21" applyNumberFormat="1" applyFont="1" applyFill="1" applyBorder="1" applyAlignment="1">
      <alignment horizontal="center" vertical="center" wrapText="1"/>
    </xf>
    <xf numFmtId="170" fontId="2" fillId="5" borderId="33" xfId="0" applyFont="1" applyFill="1" applyBorder="1" applyAlignment="1">
      <alignment horizontal="justify" vertical="center" wrapText="1"/>
    </xf>
    <xf numFmtId="170" fontId="0" fillId="3" borderId="33" xfId="0" applyFont="1" applyFill="1" applyBorder="1" applyAlignment="1">
      <alignment horizontal="center" vertical="center" wrapText="1"/>
    </xf>
    <xf numFmtId="0" fontId="0" fillId="3" borderId="7" xfId="59" applyNumberFormat="1" applyFont="1" applyFill="1" applyBorder="1" applyAlignment="1">
      <alignment horizontal="center" vertical="center"/>
      <protection/>
    </xf>
    <xf numFmtId="0" fontId="2" fillId="3" borderId="33" xfId="59" applyFont="1" applyFill="1" applyBorder="1" applyAlignment="1">
      <alignment horizontal="justify" vertical="center" wrapText="1"/>
      <protection/>
    </xf>
    <xf numFmtId="39" fontId="0" fillId="3" borderId="6" xfId="0" applyNumberFormat="1" applyFont="1" applyFill="1" applyBorder="1" applyAlignment="1">
      <alignment horizontal="center" vertical="center" wrapText="1"/>
    </xf>
    <xf numFmtId="169" fontId="0" fillId="3" borderId="6" xfId="0" applyNumberFormat="1" applyFont="1" applyFill="1" applyBorder="1" applyAlignment="1">
      <alignment horizontal="center" vertical="center" wrapText="1"/>
    </xf>
    <xf numFmtId="177" fontId="0" fillId="3" borderId="6" xfId="0" applyNumberFormat="1" applyFont="1" applyFill="1" applyBorder="1" applyAlignment="1">
      <alignment horizontal="center" vertical="center" wrapText="1"/>
    </xf>
    <xf numFmtId="10" fontId="0" fillId="3" borderId="7" xfId="21" applyNumberFormat="1" applyFont="1" applyFill="1" applyBorder="1" applyAlignment="1">
      <alignment horizontal="center" vertical="center" wrapText="1"/>
    </xf>
    <xf numFmtId="170" fontId="4" fillId="0" borderId="33" xfId="0" applyFont="1" applyFill="1" applyBorder="1" applyAlignment="1">
      <alignment vertical="center" wrapText="1"/>
    </xf>
    <xf numFmtId="170" fontId="4" fillId="0" borderId="33" xfId="0" applyFont="1" applyFill="1" applyBorder="1" applyAlignment="1">
      <alignment vertical="center"/>
    </xf>
    <xf numFmtId="39" fontId="0" fillId="0" borderId="1" xfId="20" applyNumberFormat="1" applyFont="1" applyFill="1" applyBorder="1" applyAlignment="1" applyProtection="1">
      <alignment horizontal="center" vertical="center" wrapText="1"/>
      <protection/>
    </xf>
    <xf numFmtId="2" fontId="0" fillId="0" borderId="33" xfId="0" applyNumberFormat="1" applyFont="1" applyFill="1" applyBorder="1" applyAlignment="1">
      <alignment vertical="center" wrapText="1"/>
    </xf>
    <xf numFmtId="2" fontId="0" fillId="0" borderId="6" xfId="0" applyNumberFormat="1" applyFont="1" applyFill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2" fontId="2" fillId="0" borderId="33" xfId="0" applyNumberFormat="1" applyFont="1" applyFill="1" applyBorder="1" applyAlignment="1">
      <alignment vertical="center" wrapText="1"/>
    </xf>
    <xf numFmtId="2" fontId="0" fillId="0" borderId="6" xfId="0" applyNumberFormat="1" applyFont="1" applyFill="1" applyBorder="1" applyAlignment="1">
      <alignment horizontal="center" vertical="center" wrapText="1"/>
    </xf>
    <xf numFmtId="170" fontId="0" fillId="0" borderId="1" xfId="0" applyFont="1" applyFill="1" applyBorder="1" applyAlignment="1" applyProtection="1">
      <alignment horizontal="center" vertical="center" wrapText="1"/>
      <protection/>
    </xf>
    <xf numFmtId="2" fontId="13" fillId="0" borderId="0" xfId="0" applyNumberFormat="1" applyFont="1" applyFill="1" applyBorder="1" applyAlignment="1">
      <alignment horizontal="center"/>
    </xf>
    <xf numFmtId="170" fontId="4" fillId="0" borderId="0" xfId="0" applyFont="1" applyFill="1" applyAlignment="1">
      <alignment horizontal="left"/>
    </xf>
    <xf numFmtId="170" fontId="0" fillId="0" borderId="0" xfId="0" applyFont="1" applyFill="1" applyAlignment="1">
      <alignment horizontal="center"/>
    </xf>
    <xf numFmtId="181" fontId="0" fillId="0" borderId="0" xfId="0" applyNumberFormat="1"/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70" fontId="24" fillId="0" borderId="1" xfId="0" applyFont="1" applyFill="1" applyBorder="1" applyAlignment="1">
      <alignment horizontal="justify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0" fontId="13" fillId="0" borderId="0" xfId="55" applyNumberFormat="1" applyFont="1" applyFill="1" applyAlignment="1">
      <alignment horizontal="left" vertical="center"/>
      <protection/>
    </xf>
    <xf numFmtId="49" fontId="0" fillId="0" borderId="1" xfId="24" applyNumberFormat="1" applyFont="1" applyFill="1" applyBorder="1" applyAlignment="1" applyProtection="1">
      <alignment horizontal="justify" vertical="center" wrapText="1"/>
      <protection/>
    </xf>
    <xf numFmtId="40" fontId="0" fillId="0" borderId="0" xfId="58" applyNumberFormat="1" applyFont="1" applyFill="1" applyAlignment="1">
      <alignment horizontal="center"/>
      <protection/>
    </xf>
    <xf numFmtId="38" fontId="0" fillId="0" borderId="0" xfId="58" applyNumberFormat="1" applyFont="1" applyFill="1" applyAlignment="1">
      <alignment horizontal="center"/>
      <protection/>
    </xf>
    <xf numFmtId="40" fontId="2" fillId="0" borderId="0" xfId="58" applyNumberFormat="1" applyFont="1" applyFill="1" applyAlignment="1">
      <alignment horizontal="center"/>
      <protection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left" vertical="center" wrapText="1"/>
    </xf>
    <xf numFmtId="40" fontId="13" fillId="0" borderId="0" xfId="55" applyNumberFormat="1" applyFont="1" applyFill="1" applyAlignment="1">
      <alignment horizontal="left" vertical="center" wrapText="1"/>
      <protection/>
    </xf>
    <xf numFmtId="40" fontId="4" fillId="0" borderId="0" xfId="55" applyNumberFormat="1" applyFont="1" applyFill="1" applyBorder="1" applyAlignment="1">
      <alignment horizontal="left" vertical="center" wrapText="1"/>
      <protection/>
    </xf>
    <xf numFmtId="40" fontId="4" fillId="3" borderId="0" xfId="55" applyNumberFormat="1" applyFont="1" applyFill="1" applyBorder="1" applyAlignment="1">
      <alignment horizontal="left" vertical="center" wrapText="1"/>
      <protection/>
    </xf>
    <xf numFmtId="2" fontId="0" fillId="0" borderId="0" xfId="0" applyNumberFormat="1" applyFill="1" applyBorder="1" applyAlignment="1">
      <alignment horizontal="right"/>
    </xf>
    <xf numFmtId="2" fontId="4" fillId="0" borderId="0" xfId="55" applyNumberFormat="1" applyFont="1" applyFill="1" applyAlignment="1">
      <alignment horizontal="center" vertical="center"/>
      <protection/>
    </xf>
    <xf numFmtId="2" fontId="13" fillId="0" borderId="0" xfId="42" applyNumberFormat="1" applyFont="1" applyFill="1" applyBorder="1" applyAlignment="1">
      <alignment vertical="center"/>
      <protection/>
    </xf>
    <xf numFmtId="40" fontId="9" fillId="0" borderId="0" xfId="44" applyNumberFormat="1" applyFont="1" applyFill="1" applyAlignment="1">
      <alignment horizontal="center" vertical="center"/>
      <protection/>
    </xf>
    <xf numFmtId="170" fontId="4" fillId="0" borderId="0" xfId="0" applyFont="1" applyFill="1" applyAlignment="1">
      <alignment vertical="top"/>
    </xf>
    <xf numFmtId="40" fontId="2" fillId="0" borderId="0" xfId="58" applyNumberFormat="1" applyFont="1" applyFill="1" applyAlignment="1">
      <alignment horizontal="left"/>
      <protection/>
    </xf>
    <xf numFmtId="40" fontId="2" fillId="0" borderId="35" xfId="58" applyNumberFormat="1" applyFont="1" applyFill="1" applyBorder="1" applyAlignment="1">
      <alignment horizontal="center"/>
      <protection/>
    </xf>
    <xf numFmtId="40" fontId="0" fillId="0" borderId="0" xfId="58" applyNumberFormat="1" applyFont="1" applyFill="1" applyBorder="1" applyAlignment="1">
      <alignment horizontal="center"/>
      <protection/>
    </xf>
    <xf numFmtId="40" fontId="0" fillId="0" borderId="0" xfId="58" applyNumberFormat="1" applyFont="1" applyFill="1" applyAlignment="1">
      <alignment horizontal="left"/>
      <protection/>
    </xf>
    <xf numFmtId="40" fontId="0" fillId="0" borderId="33" xfId="58" applyNumberFormat="1" applyFont="1" applyFill="1" applyBorder="1" applyAlignment="1">
      <alignment horizontal="center"/>
      <protection/>
    </xf>
    <xf numFmtId="40" fontId="0" fillId="0" borderId="6" xfId="58" applyNumberFormat="1" applyFont="1" applyFill="1" applyBorder="1" applyAlignment="1">
      <alignment horizontal="center"/>
      <protection/>
    </xf>
    <xf numFmtId="40" fontId="0" fillId="0" borderId="7" xfId="58" applyNumberFormat="1" applyFont="1" applyFill="1" applyBorder="1" applyAlignment="1">
      <alignment horizontal="center"/>
      <protection/>
    </xf>
    <xf numFmtId="40" fontId="2" fillId="0" borderId="0" xfId="58" applyNumberFormat="1" applyFont="1" applyFill="1" applyAlignment="1">
      <alignment/>
      <protection/>
    </xf>
    <xf numFmtId="2" fontId="13" fillId="11" borderId="7" xfId="55" applyNumberFormat="1" applyFont="1" applyFill="1" applyBorder="1" applyAlignment="1">
      <alignment horizontal="left" vertical="center"/>
      <protection/>
    </xf>
    <xf numFmtId="38" fontId="4" fillId="0" borderId="0" xfId="55" applyNumberFormat="1" applyFont="1" applyFill="1" applyBorder="1" applyAlignment="1">
      <alignment horizontal="center" vertical="center"/>
      <protection/>
    </xf>
    <xf numFmtId="40" fontId="4" fillId="0" borderId="0" xfId="0" applyNumberFormat="1" applyFont="1" applyFill="1" applyAlignment="1">
      <alignment horizontal="left" vertical="center"/>
    </xf>
    <xf numFmtId="40" fontId="13" fillId="0" borderId="0" xfId="0" applyNumberFormat="1" applyFont="1" applyFill="1" applyAlignment="1">
      <alignment horizontal="center" vertical="center"/>
    </xf>
    <xf numFmtId="2" fontId="4" fillId="0" borderId="0" xfId="44" applyNumberFormat="1" applyFont="1" applyFill="1" applyAlignment="1">
      <alignment vertical="center" wrapText="1"/>
      <protection/>
    </xf>
    <xf numFmtId="40" fontId="4" fillId="0" borderId="0" xfId="0" applyNumberFormat="1" applyFont="1" applyFill="1" applyAlignment="1">
      <alignment horizontal="center" vertical="center"/>
    </xf>
    <xf numFmtId="40" fontId="13" fillId="0" borderId="0" xfId="0" applyNumberFormat="1" applyFont="1" applyFill="1" applyBorder="1" applyAlignment="1">
      <alignment horizontal="center" vertical="center"/>
    </xf>
    <xf numFmtId="2" fontId="13" fillId="0" borderId="0" xfId="55" applyNumberFormat="1" applyFont="1" applyFill="1" applyBorder="1" applyAlignment="1">
      <alignment horizontal="right" vertical="center"/>
      <protection/>
    </xf>
    <xf numFmtId="182" fontId="0" fillId="0" borderId="0" xfId="58" applyNumberFormat="1" applyFont="1" applyFill="1" applyAlignment="1">
      <alignment horizontal="center"/>
      <protection/>
    </xf>
    <xf numFmtId="2" fontId="4" fillId="0" borderId="0" xfId="55" applyNumberFormat="1" applyFont="1" applyFill="1" applyAlignment="1">
      <alignment horizontal="left" vertical="center"/>
      <protection/>
    </xf>
    <xf numFmtId="2" fontId="13" fillId="0" borderId="0" xfId="0" applyNumberFormat="1" applyFont="1" applyFill="1"/>
    <xf numFmtId="40" fontId="4" fillId="0" borderId="0" xfId="55" applyNumberFormat="1" applyFont="1" applyFill="1" applyBorder="1" applyAlignment="1">
      <alignment vertical="top"/>
      <protection/>
    </xf>
    <xf numFmtId="40" fontId="4" fillId="0" borderId="0" xfId="55" applyNumberFormat="1" applyFont="1" applyFill="1" applyBorder="1" applyAlignment="1">
      <alignment vertical="top" wrapText="1"/>
      <protection/>
    </xf>
    <xf numFmtId="0" fontId="13" fillId="0" borderId="0" xfId="0" applyNumberFormat="1" applyFont="1" applyFill="1" applyAlignment="1">
      <alignment horizontal="center"/>
    </xf>
    <xf numFmtId="40" fontId="4" fillId="0" borderId="0" xfId="55" applyNumberFormat="1" applyFont="1" applyFill="1" applyBorder="1" applyAlignment="1">
      <alignment horizontal="center" vertical="center" wrapText="1"/>
      <protection/>
    </xf>
    <xf numFmtId="40" fontId="13" fillId="0" borderId="0" xfId="55" applyNumberFormat="1" applyFont="1" applyFill="1" applyBorder="1" applyAlignment="1">
      <alignment vertical="center" wrapText="1"/>
      <protection/>
    </xf>
    <xf numFmtId="170" fontId="13" fillId="0" borderId="0" xfId="0" applyFont="1" applyFill="1" applyBorder="1" applyAlignment="1">
      <alignment horizontal="center" vertical="center"/>
    </xf>
    <xf numFmtId="166" fontId="13" fillId="0" borderId="0" xfId="55" applyNumberFormat="1" applyFont="1" applyFill="1" applyBorder="1" applyAlignment="1">
      <alignment horizontal="center" vertical="center"/>
      <protection/>
    </xf>
    <xf numFmtId="40" fontId="4" fillId="0" borderId="0" xfId="55" applyNumberFormat="1" applyFont="1" applyFill="1" applyAlignment="1">
      <alignment vertical="center" wrapText="1"/>
      <protection/>
    </xf>
    <xf numFmtId="40" fontId="13" fillId="11" borderId="33" xfId="55" applyNumberFormat="1" applyFont="1" applyFill="1" applyBorder="1" applyAlignment="1">
      <alignment horizontal="center" vertical="center"/>
      <protection/>
    </xf>
    <xf numFmtId="40" fontId="13" fillId="11" borderId="6" xfId="55" applyNumberFormat="1" applyFont="1" applyFill="1" applyBorder="1" applyAlignment="1">
      <alignment horizontal="center" vertical="center"/>
      <protection/>
    </xf>
    <xf numFmtId="40" fontId="13" fillId="11" borderId="7" xfId="55" applyNumberFormat="1" applyFont="1" applyFill="1" applyBorder="1" applyAlignment="1">
      <alignment horizontal="center" vertical="center"/>
      <protection/>
    </xf>
    <xf numFmtId="40" fontId="0" fillId="0" borderId="0" xfId="58" applyNumberFormat="1" applyFill="1" applyBorder="1" applyAlignment="1">
      <alignment horizontal="center"/>
      <protection/>
    </xf>
    <xf numFmtId="170" fontId="4" fillId="0" borderId="0" xfId="0" applyFont="1" applyFill="1" applyAlignment="1">
      <alignment/>
    </xf>
    <xf numFmtId="2" fontId="13" fillId="0" borderId="0" xfId="42" applyNumberFormat="1" applyFont="1" applyFill="1" applyBorder="1" applyAlignment="1">
      <alignment horizontal="left" vertical="center" wrapText="1"/>
      <protection/>
    </xf>
    <xf numFmtId="0" fontId="0" fillId="0" borderId="0" xfId="0" applyNumberFormat="1" applyFill="1"/>
    <xf numFmtId="40" fontId="2" fillId="0" borderId="0" xfId="58" applyNumberFormat="1" applyFont="1" applyFill="1" applyBorder="1" applyAlignment="1">
      <alignment horizontal="center"/>
      <protection/>
    </xf>
    <xf numFmtId="40" fontId="2" fillId="0" borderId="0" xfId="58" applyNumberFormat="1" applyFont="1" applyFill="1" applyBorder="1" applyAlignment="1">
      <alignment horizontal="left"/>
      <protection/>
    </xf>
    <xf numFmtId="2" fontId="13" fillId="0" borderId="0" xfId="55" applyNumberFormat="1" applyFont="1" applyFill="1" applyBorder="1" applyAlignment="1">
      <alignment vertical="center"/>
      <protection/>
    </xf>
    <xf numFmtId="2" fontId="9" fillId="0" borderId="0" xfId="44" applyNumberFormat="1" applyFont="1" applyFill="1" applyAlignment="1">
      <alignment horizontal="center" vertical="center"/>
      <protection/>
    </xf>
    <xf numFmtId="170" fontId="4" fillId="0" borderId="0" xfId="0" applyFont="1" applyFill="1" applyAlignment="1">
      <alignment horizontal="left" vertical="center"/>
    </xf>
    <xf numFmtId="0" fontId="13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/>
    <xf numFmtId="2" fontId="9" fillId="0" borderId="0" xfId="44" applyNumberFormat="1" applyFont="1" applyFill="1" applyAlignment="1">
      <alignment vertical="center"/>
      <protection/>
    </xf>
    <xf numFmtId="40" fontId="4" fillId="0" borderId="0" xfId="55" applyNumberFormat="1" applyFont="1" applyFill="1" applyAlignment="1">
      <alignment vertical="top"/>
      <protection/>
    </xf>
    <xf numFmtId="2" fontId="4" fillId="0" borderId="0" xfId="55" applyNumberFormat="1" applyFont="1" applyFill="1" applyBorder="1" applyAlignment="1">
      <alignment horizontal="left" vertical="center" wrapText="1"/>
      <protection/>
    </xf>
    <xf numFmtId="170" fontId="4" fillId="0" borderId="0" xfId="0" applyFont="1" applyFill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170" fontId="2" fillId="0" borderId="7" xfId="0" applyFont="1" applyFill="1" applyBorder="1" applyAlignment="1">
      <alignment vertical="center" wrapText="1"/>
    </xf>
    <xf numFmtId="170" fontId="2" fillId="0" borderId="33" xfId="0" applyFont="1" applyFill="1" applyBorder="1" applyAlignment="1">
      <alignment vertical="center"/>
    </xf>
    <xf numFmtId="169" fontId="2" fillId="0" borderId="7" xfId="0" applyNumberFormat="1" applyFont="1" applyFill="1" applyBorder="1" applyAlignment="1">
      <alignment horizontal="right" vertical="center" wrapText="1"/>
    </xf>
    <xf numFmtId="170" fontId="2" fillId="3" borderId="33" xfId="0" applyFont="1" applyFill="1" applyBorder="1" applyAlignment="1">
      <alignment vertical="center" wrapText="1"/>
    </xf>
    <xf numFmtId="170" fontId="2" fillId="3" borderId="6" xfId="0" applyFont="1" applyFill="1" applyBorder="1" applyAlignment="1">
      <alignment vertical="center" wrapText="1"/>
    </xf>
    <xf numFmtId="170" fontId="2" fillId="3" borderId="6" xfId="0" applyFont="1" applyFill="1" applyBorder="1" applyAlignment="1">
      <alignment horizontal="justify" vertical="center" wrapText="1"/>
    </xf>
    <xf numFmtId="170" fontId="2" fillId="3" borderId="7" xfId="0" applyFont="1" applyFill="1" applyBorder="1" applyAlignment="1">
      <alignment vertical="center" wrapText="1"/>
    </xf>
    <xf numFmtId="170" fontId="2" fillId="3" borderId="33" xfId="0" applyFont="1" applyFill="1" applyBorder="1" applyAlignment="1">
      <alignment vertical="center"/>
    </xf>
    <xf numFmtId="169" fontId="2" fillId="3" borderId="7" xfId="0" applyNumberFormat="1" applyFont="1" applyFill="1" applyBorder="1" applyAlignment="1">
      <alignment horizontal="right" vertical="center" wrapText="1"/>
    </xf>
    <xf numFmtId="169" fontId="2" fillId="3" borderId="1" xfId="20" applyNumberFormat="1" applyFont="1" applyFill="1" applyBorder="1" applyAlignment="1">
      <alignment horizontal="center" vertical="center" wrapText="1"/>
    </xf>
    <xf numFmtId="10" fontId="0" fillId="3" borderId="1" xfId="21" applyNumberFormat="1" applyFont="1" applyFill="1" applyBorder="1" applyAlignment="1">
      <alignment horizontal="center" vertical="center" wrapText="1"/>
    </xf>
    <xf numFmtId="170" fontId="0" fillId="3" borderId="34" xfId="0" applyFont="1" applyFill="1" applyBorder="1" applyAlignment="1">
      <alignment vertical="center" wrapText="1"/>
    </xf>
    <xf numFmtId="0" fontId="0" fillId="3" borderId="35" xfId="0" applyNumberFormat="1" applyFont="1" applyFill="1" applyBorder="1" applyAlignment="1">
      <alignment vertical="center" wrapText="1"/>
    </xf>
    <xf numFmtId="170" fontId="0" fillId="3" borderId="35" xfId="0" applyFont="1" applyFill="1" applyBorder="1" applyAlignment="1">
      <alignment horizontal="justify" vertical="center" wrapText="1"/>
    </xf>
    <xf numFmtId="0" fontId="0" fillId="3" borderId="35" xfId="20" applyNumberFormat="1" applyFont="1" applyFill="1" applyBorder="1" applyAlignment="1">
      <alignment horizontal="center" vertical="center" wrapText="1"/>
    </xf>
    <xf numFmtId="164" fontId="0" fillId="3" borderId="6" xfId="20" applyFont="1" applyFill="1" applyBorder="1" applyAlignment="1">
      <alignment horizontal="center" vertical="center" wrapText="1"/>
    </xf>
    <xf numFmtId="10" fontId="0" fillId="3" borderId="6" xfId="0" applyNumberFormat="1" applyFont="1" applyFill="1" applyBorder="1" applyAlignment="1">
      <alignment horizontal="center" vertical="center" wrapText="1"/>
    </xf>
    <xf numFmtId="170" fontId="13" fillId="3" borderId="0" xfId="0" applyFont="1" applyFill="1" applyBorder="1" applyAlignment="1">
      <alignment vertical="center" wrapText="1"/>
    </xf>
    <xf numFmtId="170" fontId="0" fillId="3" borderId="33" xfId="0" applyFont="1" applyFill="1" applyBorder="1" applyAlignment="1">
      <alignment vertical="center" wrapText="1"/>
    </xf>
    <xf numFmtId="0" fontId="0" fillId="3" borderId="6" xfId="0" applyNumberFormat="1" applyFont="1" applyFill="1" applyBorder="1" applyAlignment="1">
      <alignment vertical="center" wrapText="1"/>
    </xf>
    <xf numFmtId="170" fontId="0" fillId="3" borderId="6" xfId="0" applyFont="1" applyFill="1" applyBorder="1" applyAlignment="1">
      <alignment horizontal="justify" vertical="center" wrapText="1"/>
    </xf>
    <xf numFmtId="0" fontId="0" fillId="3" borderId="6" xfId="20" applyNumberFormat="1" applyFont="1" applyFill="1" applyBorder="1" applyAlignment="1">
      <alignment horizontal="center" vertical="center" wrapText="1"/>
    </xf>
    <xf numFmtId="170" fontId="0" fillId="20" borderId="33" xfId="0" applyFont="1" applyFill="1" applyBorder="1" applyAlignment="1">
      <alignment horizontal="center" vertical="center" wrapText="1"/>
    </xf>
    <xf numFmtId="0" fontId="0" fillId="20" borderId="7" xfId="59" applyNumberFormat="1" applyFont="1" applyFill="1" applyBorder="1" applyAlignment="1">
      <alignment horizontal="center" vertical="center"/>
      <protection/>
    </xf>
    <xf numFmtId="0" fontId="2" fillId="20" borderId="33" xfId="59" applyFont="1" applyFill="1" applyBorder="1" applyAlignment="1">
      <alignment horizontal="justify" vertical="center" wrapText="1"/>
      <protection/>
    </xf>
    <xf numFmtId="170" fontId="0" fillId="20" borderId="6" xfId="0" applyFont="1" applyFill="1" applyBorder="1" applyAlignment="1">
      <alignment horizontal="center" vertical="center" wrapText="1"/>
    </xf>
    <xf numFmtId="39" fontId="0" fillId="20" borderId="6" xfId="0" applyNumberFormat="1" applyFont="1" applyFill="1" applyBorder="1" applyAlignment="1">
      <alignment horizontal="center" vertical="center" wrapText="1"/>
    </xf>
    <xf numFmtId="169" fontId="0" fillId="20" borderId="6" xfId="0" applyNumberFormat="1" applyFont="1" applyFill="1" applyBorder="1" applyAlignment="1">
      <alignment horizontal="center" vertical="center" wrapText="1"/>
    </xf>
    <xf numFmtId="177" fontId="0" fillId="20" borderId="6" xfId="0" applyNumberFormat="1" applyFont="1" applyFill="1" applyBorder="1" applyAlignment="1">
      <alignment horizontal="center" vertical="center" wrapText="1"/>
    </xf>
    <xf numFmtId="10" fontId="0" fillId="20" borderId="7" xfId="21" applyNumberFormat="1" applyFont="1" applyFill="1" applyBorder="1" applyAlignment="1">
      <alignment horizontal="center" vertical="center" wrapText="1"/>
    </xf>
    <xf numFmtId="40" fontId="4" fillId="3" borderId="0" xfId="55" applyNumberFormat="1" applyFont="1" applyFill="1" applyBorder="1" applyAlignment="1">
      <alignment horizontal="left" vertical="center" wrapText="1"/>
      <protection/>
    </xf>
    <xf numFmtId="2" fontId="0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41" xfId="0" applyNumberFormat="1" applyFont="1" applyFill="1" applyBorder="1" applyAlignment="1">
      <alignment horizontal="center" vertical="center" wrapText="1"/>
    </xf>
    <xf numFmtId="170" fontId="13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 wrapText="1"/>
    </xf>
    <xf numFmtId="170" fontId="13" fillId="0" borderId="33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/>
    </xf>
    <xf numFmtId="169" fontId="0" fillId="0" borderId="7" xfId="0" applyNumberFormat="1" applyFont="1" applyFill="1" applyBorder="1" applyAlignment="1">
      <alignment horizontal="center" vertical="center"/>
    </xf>
    <xf numFmtId="169" fontId="13" fillId="0" borderId="6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justify" vertical="center" wrapText="1"/>
    </xf>
    <xf numFmtId="183" fontId="1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40" fontId="4" fillId="0" borderId="0" xfId="55" applyNumberFormat="1" applyFont="1" applyFill="1" applyBorder="1" applyAlignment="1">
      <alignment horizontal="left" vertical="center" wrapText="1"/>
      <protection/>
    </xf>
    <xf numFmtId="170" fontId="4" fillId="0" borderId="0" xfId="0" applyFont="1" applyFill="1" applyAlignment="1">
      <alignment horizontal="left" wrapText="1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33" xfId="0" applyNumberFormat="1" applyFont="1" applyFill="1" applyBorder="1" applyAlignment="1">
      <alignment vertical="center"/>
    </xf>
    <xf numFmtId="2" fontId="0" fillId="0" borderId="6" xfId="0" applyNumberFormat="1" applyFill="1" applyBorder="1" applyAlignment="1">
      <alignment vertical="center"/>
    </xf>
    <xf numFmtId="2" fontId="0" fillId="0" borderId="7" xfId="0" applyNumberFormat="1" applyFill="1" applyBorder="1" applyAlignment="1">
      <alignment vertical="center"/>
    </xf>
    <xf numFmtId="2" fontId="0" fillId="0" borderId="0" xfId="0" applyNumberFormat="1" applyFont="1" applyBorder="1"/>
    <xf numFmtId="2" fontId="0" fillId="0" borderId="1" xfId="0" applyNumberFormat="1" applyFont="1" applyBorder="1" applyAlignment="1">
      <alignment horizontal="left"/>
    </xf>
    <xf numFmtId="2" fontId="0" fillId="0" borderId="33" xfId="0" applyNumberFormat="1" applyFill="1" applyBorder="1" applyAlignment="1">
      <alignment horizontal="left"/>
    </xf>
    <xf numFmtId="2" fontId="0" fillId="0" borderId="34" xfId="0" applyNumberFormat="1" applyBorder="1" applyAlignment="1">
      <alignment horizontal="left" vertical="center"/>
    </xf>
    <xf numFmtId="0" fontId="30" fillId="0" borderId="1" xfId="55" applyNumberFormat="1" applyFont="1" applyFill="1" applyBorder="1" applyAlignment="1">
      <alignment horizontal="center" vertical="center"/>
      <protection/>
    </xf>
    <xf numFmtId="40" fontId="0" fillId="0" borderId="0" xfId="55" applyNumberFormat="1" applyFont="1" applyFill="1" applyBorder="1" applyAlignment="1">
      <alignment horizontal="left" vertical="center"/>
      <protection/>
    </xf>
    <xf numFmtId="40" fontId="13" fillId="0" borderId="41" xfId="55" applyNumberFormat="1" applyFont="1" applyFill="1" applyBorder="1" applyAlignment="1">
      <alignment horizontal="center" vertical="center"/>
      <protection/>
    </xf>
    <xf numFmtId="2" fontId="9" fillId="0" borderId="1" xfId="44" applyNumberFormat="1" applyFont="1" applyBorder="1" applyAlignment="1">
      <alignment horizontal="center"/>
      <protection/>
    </xf>
    <xf numFmtId="40" fontId="13" fillId="0" borderId="39" xfId="55" applyNumberFormat="1" applyFont="1" applyFill="1" applyBorder="1" applyAlignment="1">
      <alignment horizontal="right" vertical="center"/>
      <protection/>
    </xf>
    <xf numFmtId="0" fontId="13" fillId="0" borderId="38" xfId="55" applyNumberFormat="1" applyFont="1" applyFill="1" applyBorder="1" applyAlignment="1">
      <alignment horizontal="left" vertical="center"/>
      <protection/>
    </xf>
    <xf numFmtId="170" fontId="9" fillId="0" borderId="0" xfId="44" applyFont="1" applyFill="1">
      <alignment/>
      <protection/>
    </xf>
    <xf numFmtId="170" fontId="14" fillId="0" borderId="0" xfId="0" applyFont="1" applyFill="1" applyAlignment="1">
      <alignment horizontal="center" vertical="center"/>
    </xf>
    <xf numFmtId="40" fontId="13" fillId="11" borderId="33" xfId="58" applyNumberFormat="1" applyFont="1" applyFill="1" applyBorder="1" applyAlignment="1">
      <alignment horizontal="center"/>
      <protection/>
    </xf>
    <xf numFmtId="40" fontId="13" fillId="11" borderId="6" xfId="58" applyNumberFormat="1" applyFont="1" applyFill="1" applyBorder="1" applyAlignment="1">
      <alignment horizontal="center"/>
      <protection/>
    </xf>
    <xf numFmtId="40" fontId="13" fillId="11" borderId="7" xfId="58" applyNumberFormat="1" applyFont="1" applyFill="1" applyBorder="1" applyAlignment="1">
      <alignment horizontal="center"/>
      <protection/>
    </xf>
    <xf numFmtId="40" fontId="13" fillId="0" borderId="0" xfId="58" applyNumberFormat="1" applyFont="1" applyFill="1" applyAlignment="1">
      <alignment horizontal="center"/>
      <protection/>
    </xf>
    <xf numFmtId="40" fontId="4" fillId="0" borderId="0" xfId="58" applyNumberFormat="1" applyFont="1" applyFill="1" applyAlignment="1">
      <alignment horizontal="center"/>
      <protection/>
    </xf>
    <xf numFmtId="38" fontId="13" fillId="0" borderId="0" xfId="58" applyNumberFormat="1" applyFont="1" applyFill="1" applyAlignment="1">
      <alignment horizontal="center"/>
      <protection/>
    </xf>
    <xf numFmtId="40" fontId="4" fillId="0" borderId="0" xfId="55" applyNumberFormat="1" applyFont="1" applyFill="1" applyBorder="1" applyAlignment="1">
      <alignment vertical="center" wrapText="1"/>
      <protection/>
    </xf>
    <xf numFmtId="40" fontId="4" fillId="0" borderId="0" xfId="55" applyNumberFormat="1" applyFont="1" applyFill="1" applyBorder="1" applyAlignment="1">
      <alignment vertical="center" wrapText="1"/>
      <protection/>
    </xf>
    <xf numFmtId="170" fontId="4" fillId="0" borderId="0" xfId="0" applyFont="1" applyFill="1" applyAlignment="1">
      <alignment horizontal="left" vertical="center" wrapText="1"/>
    </xf>
    <xf numFmtId="170" fontId="0" fillId="0" borderId="0" xfId="0" applyFill="1" applyBorder="1"/>
    <xf numFmtId="2" fontId="13" fillId="0" borderId="33" xfId="0" applyNumberFormat="1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justify" vertical="center" wrapText="1"/>
    </xf>
    <xf numFmtId="40" fontId="0" fillId="0" borderId="0" xfId="55" applyNumberFormat="1" applyFont="1" applyFill="1" applyBorder="1" applyAlignment="1">
      <alignment horizontal="center" vertical="center"/>
      <protection/>
    </xf>
    <xf numFmtId="170" fontId="4" fillId="0" borderId="0" xfId="0" applyFont="1" applyFill="1" applyAlignment="1">
      <alignment horizontal="left" wrapText="1"/>
    </xf>
    <xf numFmtId="170" fontId="9" fillId="0" borderId="0" xfId="44" applyFont="1" applyAlignment="1">
      <alignment horizontal="center" vertical="center"/>
      <protection/>
    </xf>
    <xf numFmtId="170" fontId="14" fillId="0" borderId="0" xfId="44" applyFont="1" applyFill="1" applyBorder="1" applyAlignment="1">
      <alignment horizontal="center" vertical="center"/>
      <protection/>
    </xf>
    <xf numFmtId="0" fontId="9" fillId="0" borderId="0" xfId="44" applyNumberFormat="1" applyFont="1" applyFill="1" applyBorder="1" applyAlignment="1">
      <alignment vertical="center"/>
      <protection/>
    </xf>
    <xf numFmtId="2" fontId="9" fillId="0" borderId="0" xfId="44" applyNumberFormat="1" applyFont="1" applyFill="1" applyBorder="1" applyAlignment="1">
      <alignment vertical="center"/>
      <protection/>
    </xf>
    <xf numFmtId="2" fontId="9" fillId="0" borderId="0" xfId="44" applyNumberFormat="1" applyFont="1" applyFill="1" applyBorder="1" applyAlignment="1">
      <alignment horizontal="center" vertical="center"/>
      <protection/>
    </xf>
    <xf numFmtId="49" fontId="14" fillId="0" borderId="0" xfId="44" applyNumberFormat="1" applyFont="1" applyFill="1" applyBorder="1" applyAlignment="1">
      <alignment horizontal="center" vertical="center"/>
      <protection/>
    </xf>
    <xf numFmtId="0" fontId="14" fillId="0" borderId="0" xfId="44" applyNumberFormat="1" applyFont="1" applyFill="1" applyBorder="1" applyAlignment="1">
      <alignment vertical="center"/>
      <protection/>
    </xf>
    <xf numFmtId="0" fontId="4" fillId="0" borderId="0" xfId="0" applyNumberFormat="1" applyFont="1" applyFill="1" applyBorder="1"/>
    <xf numFmtId="0" fontId="14" fillId="0" borderId="0" xfId="44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/>
    <xf numFmtId="170" fontId="31" fillId="0" borderId="0" xfId="44" applyFont="1" applyFill="1" applyBorder="1" applyAlignment="1">
      <alignment horizontal="left" vertical="center"/>
      <protection/>
    </xf>
    <xf numFmtId="0" fontId="23" fillId="0" borderId="1" xfId="0" applyNumberFormat="1" applyFont="1" applyFill="1" applyBorder="1" applyAlignment="1">
      <alignment horizontal="justify" vertical="center" wrapText="1"/>
    </xf>
    <xf numFmtId="40" fontId="2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justify" vertical="center" wrapText="1"/>
    </xf>
    <xf numFmtId="169" fontId="0" fillId="0" borderId="0" xfId="33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justify" vertical="center"/>
    </xf>
    <xf numFmtId="168" fontId="13" fillId="0" borderId="1" xfId="21" applyNumberFormat="1" applyFont="1" applyFill="1" applyBorder="1" applyAlignment="1">
      <alignment vertical="center" wrapText="1"/>
    </xf>
    <xf numFmtId="170" fontId="0" fillId="0" borderId="0" xfId="0" applyFont="1" applyFill="1" applyAlignment="1">
      <alignment vertical="center" wrapText="1"/>
    </xf>
    <xf numFmtId="170" fontId="0" fillId="0" borderId="0" xfId="0" applyFont="1" applyFill="1" applyBorder="1" applyAlignment="1">
      <alignment horizontal="center" vertical="center" wrapText="1"/>
    </xf>
    <xf numFmtId="170" fontId="0" fillId="0" borderId="0" xfId="0" applyFont="1" applyFill="1" applyBorder="1" applyAlignment="1">
      <alignment horizontal="center" vertical="center" wrapText="1"/>
    </xf>
    <xf numFmtId="170" fontId="11" fillId="0" borderId="0" xfId="0" applyFont="1" applyFill="1" applyBorder="1" applyAlignment="1">
      <alignment horizontal="center"/>
    </xf>
    <xf numFmtId="170" fontId="11" fillId="0" borderId="0" xfId="0" applyFont="1" applyFill="1" applyBorder="1" applyAlignment="1">
      <alignment/>
    </xf>
    <xf numFmtId="170" fontId="4" fillId="0" borderId="0" xfId="24" applyFont="1" applyFill="1" applyBorder="1" applyAlignment="1">
      <alignment horizontal="center" vertical="center"/>
      <protection/>
    </xf>
    <xf numFmtId="170" fontId="13" fillId="0" borderId="43" xfId="24" applyFont="1" applyFill="1" applyBorder="1" applyAlignment="1">
      <alignment horizontal="center" vertical="center"/>
      <protection/>
    </xf>
    <xf numFmtId="170" fontId="4" fillId="0" borderId="42" xfId="24" applyFont="1" applyFill="1" applyBorder="1" applyAlignment="1">
      <alignment vertical="center"/>
      <protection/>
    </xf>
    <xf numFmtId="170" fontId="30" fillId="0" borderId="0" xfId="0" applyFont="1" applyBorder="1" applyAlignment="1">
      <alignment horizontal="center"/>
    </xf>
    <xf numFmtId="40" fontId="13" fillId="0" borderId="44" xfId="55" applyNumberFormat="1" applyFont="1" applyFill="1" applyBorder="1" applyAlignment="1">
      <alignment horizontal="center" vertical="center"/>
      <protection/>
    </xf>
    <xf numFmtId="170" fontId="2" fillId="0" borderId="1" xfId="0" applyFont="1" applyBorder="1" applyAlignment="1">
      <alignment vertical="center"/>
    </xf>
    <xf numFmtId="170" fontId="2" fillId="3" borderId="33" xfId="31" applyFont="1" applyFill="1" applyBorder="1" applyAlignment="1">
      <alignment vertical="center"/>
      <protection/>
    </xf>
    <xf numFmtId="170" fontId="2" fillId="3" borderId="6" xfId="31" applyFont="1" applyFill="1" applyBorder="1" applyAlignment="1">
      <alignment vertical="center"/>
      <protection/>
    </xf>
    <xf numFmtId="170" fontId="2" fillId="3" borderId="7" xfId="31" applyFont="1" applyFill="1" applyBorder="1" applyAlignment="1">
      <alignment vertical="center"/>
      <protection/>
    </xf>
    <xf numFmtId="170" fontId="2" fillId="0" borderId="33" xfId="0" applyFont="1" applyBorder="1" applyAlignment="1">
      <alignment vertical="center"/>
    </xf>
    <xf numFmtId="170" fontId="2" fillId="5" borderId="1" xfId="31" applyFont="1" applyFill="1" applyBorder="1" applyAlignment="1">
      <alignment vertical="center"/>
      <protection/>
    </xf>
    <xf numFmtId="170" fontId="2" fillId="5" borderId="33" xfId="31" applyFont="1" applyFill="1" applyBorder="1" applyAlignment="1">
      <alignment vertical="center"/>
      <protection/>
    </xf>
    <xf numFmtId="170" fontId="2" fillId="5" borderId="6" xfId="31" applyFont="1" applyFill="1" applyBorder="1" applyAlignment="1">
      <alignment vertical="center"/>
      <protection/>
    </xf>
    <xf numFmtId="174" fontId="13" fillId="0" borderId="0" xfId="0" applyNumberFormat="1" applyFont="1" applyFill="1" applyBorder="1" applyAlignment="1" applyProtection="1">
      <alignment horizontal="left" vertical="center" wrapText="1"/>
      <protection/>
    </xf>
    <xf numFmtId="4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 vertical="center"/>
    </xf>
    <xf numFmtId="40" fontId="13" fillId="0" borderId="0" xfId="0" applyNumberFormat="1" applyFont="1" applyFill="1" applyAlignment="1">
      <alignment horizontal="center"/>
    </xf>
    <xf numFmtId="40" fontId="13" fillId="11" borderId="2" xfId="0" applyNumberFormat="1" applyFont="1" applyFill="1" applyBorder="1" applyAlignment="1">
      <alignment horizontal="center"/>
    </xf>
    <xf numFmtId="40" fontId="13" fillId="11" borderId="6" xfId="0" applyNumberFormat="1" applyFont="1" applyFill="1" applyBorder="1" applyAlignment="1">
      <alignment horizontal="center"/>
    </xf>
    <xf numFmtId="40" fontId="13" fillId="11" borderId="7" xfId="0" applyNumberFormat="1" applyFont="1" applyFill="1" applyBorder="1" applyAlignment="1">
      <alignment horizontal="center"/>
    </xf>
    <xf numFmtId="40" fontId="13" fillId="11" borderId="3" xfId="0" applyNumberFormat="1" applyFont="1" applyFill="1" applyBorder="1" applyAlignment="1">
      <alignment horizontal="center"/>
    </xf>
    <xf numFmtId="40" fontId="13" fillId="11" borderId="4" xfId="0" applyNumberFormat="1" applyFont="1" applyFill="1" applyBorder="1" applyAlignment="1">
      <alignment horizontal="center"/>
    </xf>
    <xf numFmtId="170" fontId="13" fillId="0" borderId="9" xfId="0" applyFont="1" applyFill="1" applyBorder="1" applyAlignment="1">
      <alignment vertical="center"/>
    </xf>
    <xf numFmtId="170" fontId="13" fillId="0" borderId="10" xfId="0" applyFont="1" applyFill="1" applyBorder="1" applyAlignment="1">
      <alignment vertical="center"/>
    </xf>
    <xf numFmtId="170" fontId="13" fillId="0" borderId="30" xfId="0" applyFont="1" applyFill="1" applyBorder="1" applyAlignment="1">
      <alignment vertical="center"/>
    </xf>
    <xf numFmtId="170" fontId="13" fillId="0" borderId="31" xfId="0" applyFont="1" applyFill="1" applyBorder="1" applyAlignment="1">
      <alignment vertical="center"/>
    </xf>
    <xf numFmtId="170" fontId="13" fillId="0" borderId="32" xfId="0" applyFont="1" applyFill="1" applyBorder="1" applyAlignment="1">
      <alignment vertical="center"/>
    </xf>
    <xf numFmtId="170" fontId="4" fillId="5" borderId="1" xfId="31" applyFont="1" applyFill="1" applyBorder="1" applyAlignment="1">
      <alignment horizontal="left" vertical="center"/>
      <protection/>
    </xf>
    <xf numFmtId="170" fontId="4" fillId="5" borderId="33" xfId="31" applyFont="1" applyFill="1" applyBorder="1" applyAlignment="1">
      <alignment horizontal="left" vertical="center"/>
      <protection/>
    </xf>
    <xf numFmtId="170" fontId="4" fillId="5" borderId="33" xfId="31" applyFont="1" applyFill="1" applyBorder="1" applyAlignment="1">
      <alignment horizontal="center" vertical="center" wrapText="1"/>
      <protection/>
    </xf>
    <xf numFmtId="0" fontId="4" fillId="3" borderId="1" xfId="31" applyNumberFormat="1" applyFont="1" applyFill="1" applyBorder="1" applyAlignment="1">
      <alignment vertical="center"/>
      <protection/>
    </xf>
    <xf numFmtId="40" fontId="13" fillId="0" borderId="0" xfId="0" applyNumberFormat="1" applyFont="1" applyFill="1" applyBorder="1" applyAlignment="1">
      <alignment horizontal="left"/>
    </xf>
    <xf numFmtId="40" fontId="4" fillId="0" borderId="0" xfId="0" applyNumberFormat="1" applyFont="1" applyFill="1" applyBorder="1" applyAlignment="1">
      <alignment horizontal="left" wrapText="1"/>
    </xf>
    <xf numFmtId="38" fontId="4" fillId="0" borderId="0" xfId="0" applyNumberFormat="1" applyFont="1" applyFill="1" applyBorder="1" applyAlignment="1">
      <alignment horizontal="center" vertical="top"/>
    </xf>
    <xf numFmtId="172" fontId="10" fillId="0" borderId="0" xfId="24" applyNumberFormat="1" applyFont="1" applyFill="1" applyBorder="1" applyAlignment="1">
      <alignment horizontal="center" vertical="center" wrapText="1"/>
      <protection/>
    </xf>
    <xf numFmtId="172" fontId="10" fillId="0" borderId="0" xfId="24" applyNumberFormat="1" applyFont="1" applyFill="1" applyBorder="1" applyAlignment="1">
      <alignment vertical="center" wrapText="1"/>
      <protection/>
    </xf>
    <xf numFmtId="0" fontId="4" fillId="0" borderId="0" xfId="20" applyNumberFormat="1" applyFont="1" applyFill="1" applyBorder="1" applyAlignment="1">
      <alignment horizontal="center"/>
    </xf>
    <xf numFmtId="170" fontId="13" fillId="0" borderId="0" xfId="0" applyFont="1" applyFill="1" applyBorder="1" applyAlignment="1">
      <alignment horizontal="center"/>
    </xf>
    <xf numFmtId="0" fontId="4" fillId="5" borderId="33" xfId="31" applyNumberFormat="1" applyFont="1" applyFill="1" applyBorder="1" applyAlignment="1">
      <alignment horizontal="center" vertical="center" wrapText="1"/>
      <protection/>
    </xf>
    <xf numFmtId="40" fontId="4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>
      <alignment horizontal="center"/>
    </xf>
    <xf numFmtId="170" fontId="0" fillId="0" borderId="0" xfId="0" applyFont="1" applyFill="1" applyBorder="1"/>
    <xf numFmtId="40" fontId="2" fillId="0" borderId="0" xfId="0" applyNumberFormat="1" applyFont="1" applyFill="1" applyAlignment="1">
      <alignment horizontal="center"/>
    </xf>
    <xf numFmtId="170" fontId="4" fillId="5" borderId="6" xfId="31" applyFont="1" applyFill="1" applyBorder="1" applyAlignment="1">
      <alignment horizontal="left" vertical="center"/>
      <protection/>
    </xf>
    <xf numFmtId="170" fontId="4" fillId="0" borderId="42" xfId="31" applyFont="1" applyFill="1" applyBorder="1" applyAlignment="1">
      <alignment vertical="center" wrapText="1"/>
      <protection/>
    </xf>
    <xf numFmtId="0" fontId="4" fillId="0" borderId="0" xfId="31" applyNumberFormat="1" applyFont="1" applyFill="1" applyBorder="1" applyAlignment="1">
      <alignment vertical="center" wrapText="1"/>
      <protection/>
    </xf>
    <xf numFmtId="1" fontId="4" fillId="5" borderId="1" xfId="33" applyNumberFormat="1" applyFont="1" applyFill="1" applyBorder="1" applyAlignment="1">
      <alignment horizontal="center" vertical="center" wrapText="1"/>
    </xf>
    <xf numFmtId="40" fontId="4" fillId="0" borderId="41" xfId="0" applyNumberFormat="1" applyFont="1" applyFill="1" applyBorder="1" applyAlignment="1">
      <alignment horizontal="left"/>
    </xf>
    <xf numFmtId="40" fontId="4" fillId="0" borderId="41" xfId="0" applyNumberFormat="1" applyFont="1" applyFill="1" applyBorder="1" applyAlignment="1">
      <alignment horizontal="center"/>
    </xf>
    <xf numFmtId="170" fontId="13" fillId="0" borderId="41" xfId="0" applyFont="1" applyFill="1" applyBorder="1"/>
    <xf numFmtId="170" fontId="4" fillId="5" borderId="45" xfId="31" applyFont="1" applyFill="1" applyBorder="1" applyAlignment="1">
      <alignment vertical="center"/>
      <protection/>
    </xf>
    <xf numFmtId="174" fontId="4" fillId="3" borderId="46" xfId="0" applyNumberFormat="1" applyFont="1" applyFill="1" applyBorder="1" applyAlignment="1" applyProtection="1">
      <alignment vertical="center"/>
      <protection/>
    </xf>
    <xf numFmtId="174" fontId="4" fillId="3" borderId="47" xfId="0" applyNumberFormat="1" applyFont="1" applyFill="1" applyBorder="1" applyAlignment="1" applyProtection="1">
      <alignment vertical="center"/>
      <protection/>
    </xf>
    <xf numFmtId="10" fontId="4" fillId="10" borderId="48" xfId="0" applyNumberFormat="1" applyFont="1" applyFill="1" applyBorder="1" applyAlignment="1">
      <alignment horizontal="center" vertical="center"/>
    </xf>
    <xf numFmtId="170" fontId="13" fillId="0" borderId="49" xfId="0" applyFont="1" applyBorder="1"/>
    <xf numFmtId="170" fontId="13" fillId="0" borderId="50" xfId="0" applyFont="1" applyBorder="1"/>
    <xf numFmtId="10" fontId="4" fillId="0" borderId="51" xfId="0" applyNumberFormat="1" applyFont="1" applyBorder="1" applyAlignment="1">
      <alignment horizontal="center"/>
    </xf>
    <xf numFmtId="170" fontId="4" fillId="0" borderId="42" xfId="0" applyFont="1" applyBorder="1"/>
    <xf numFmtId="170" fontId="13" fillId="0" borderId="43" xfId="0" applyFont="1" applyBorder="1"/>
    <xf numFmtId="170" fontId="13" fillId="0" borderId="34" xfId="0" applyFont="1" applyBorder="1"/>
    <xf numFmtId="170" fontId="13" fillId="0" borderId="35" xfId="0" applyFont="1" applyBorder="1"/>
    <xf numFmtId="170" fontId="13" fillId="0" borderId="40" xfId="0" applyFont="1" applyBorder="1"/>
    <xf numFmtId="170" fontId="13" fillId="0" borderId="0" xfId="0" applyFont="1" applyBorder="1" applyAlignment="1">
      <alignment horizontal="center" vertical="center"/>
    </xf>
    <xf numFmtId="10" fontId="13" fillId="0" borderId="0" xfId="21" applyNumberFormat="1" applyFont="1"/>
    <xf numFmtId="10" fontId="13" fillId="0" borderId="1" xfId="20" applyNumberFormat="1" applyFont="1" applyBorder="1" applyAlignment="1">
      <alignment horizontal="center" vertical="center" wrapText="1"/>
    </xf>
    <xf numFmtId="10" fontId="13" fillId="3" borderId="1" xfId="20" applyNumberFormat="1" applyFont="1" applyFill="1" applyBorder="1" applyAlignment="1">
      <alignment horizontal="center" vertical="center" wrapText="1"/>
    </xf>
    <xf numFmtId="10" fontId="13" fillId="0" borderId="0" xfId="21" applyNumberFormat="1" applyFont="1" applyAlignment="1">
      <alignment vertical="center" wrapText="1"/>
    </xf>
    <xf numFmtId="44" fontId="13" fillId="0" borderId="0" xfId="33" applyFont="1" applyFill="1"/>
    <xf numFmtId="165" fontId="13" fillId="2" borderId="52" xfId="0" applyNumberFormat="1" applyFont="1" applyFill="1" applyBorder="1" applyAlignment="1">
      <alignment vertical="center"/>
    </xf>
    <xf numFmtId="175" fontId="13" fillId="0" borderId="1" xfId="0" applyNumberFormat="1" applyFont="1" applyFill="1" applyBorder="1" applyAlignment="1">
      <alignment horizontal="center" vertical="center"/>
    </xf>
    <xf numFmtId="175" fontId="0" fillId="0" borderId="1" xfId="0" applyNumberFormat="1" applyFont="1" applyFill="1" applyBorder="1" applyAlignment="1">
      <alignment horizontal="center" vertical="center"/>
    </xf>
    <xf numFmtId="0" fontId="22" fillId="0" borderId="0" xfId="64" applyFont="1" applyBorder="1" applyAlignment="1">
      <alignment horizontal="right" vertical="center"/>
      <protection/>
    </xf>
    <xf numFmtId="10" fontId="22" fillId="0" borderId="0" xfId="64" applyNumberFormat="1" applyFont="1" applyBorder="1" applyAlignment="1">
      <alignment horizontal="center" vertical="center"/>
      <protection/>
    </xf>
    <xf numFmtId="0" fontId="20" fillId="0" borderId="0" xfId="64" applyFont="1" applyBorder="1" applyAlignment="1">
      <alignment horizontal="left" vertical="center" wrapText="1"/>
      <protection/>
    </xf>
    <xf numFmtId="0" fontId="20" fillId="0" borderId="0" xfId="64" applyFont="1" applyBorder="1" applyAlignment="1">
      <alignment horizontal="left" vertical="center"/>
      <protection/>
    </xf>
    <xf numFmtId="170" fontId="13" fillId="0" borderId="53" xfId="0" applyFont="1" applyBorder="1" applyAlignment="1">
      <alignment horizontal="center"/>
    </xf>
    <xf numFmtId="170" fontId="13" fillId="0" borderId="54" xfId="0" applyFont="1" applyBorder="1" applyAlignment="1">
      <alignment horizontal="center"/>
    </xf>
    <xf numFmtId="170" fontId="13" fillId="0" borderId="55" xfId="0" applyFont="1" applyBorder="1" applyAlignment="1">
      <alignment horizontal="center"/>
    </xf>
    <xf numFmtId="170" fontId="13" fillId="0" borderId="8" xfId="0" applyFont="1" applyBorder="1" applyAlignment="1">
      <alignment vertical="center" wrapText="1"/>
    </xf>
    <xf numFmtId="170" fontId="13" fillId="0" borderId="0" xfId="0" applyFont="1" applyBorder="1" applyAlignment="1">
      <alignment vertical="center" wrapText="1"/>
    </xf>
    <xf numFmtId="170" fontId="13" fillId="0" borderId="13" xfId="0" applyFont="1" applyBorder="1" applyAlignment="1">
      <alignment vertical="center" wrapText="1"/>
    </xf>
    <xf numFmtId="170" fontId="13" fillId="0" borderId="19" xfId="0" applyFont="1" applyBorder="1" applyAlignment="1">
      <alignment vertical="center" wrapText="1"/>
    </xf>
    <xf numFmtId="170" fontId="13" fillId="0" borderId="56" xfId="0" applyFont="1" applyBorder="1" applyAlignment="1">
      <alignment vertical="center" wrapText="1"/>
    </xf>
    <xf numFmtId="170" fontId="13" fillId="0" borderId="21" xfId="0" applyFont="1" applyBorder="1" applyAlignment="1">
      <alignment vertical="center" wrapText="1"/>
    </xf>
    <xf numFmtId="0" fontId="21" fillId="0" borderId="0" xfId="64" applyFont="1" applyBorder="1" applyAlignment="1">
      <alignment horizontal="right"/>
      <protection/>
    </xf>
    <xf numFmtId="170" fontId="4" fillId="0" borderId="19" xfId="0" applyFont="1" applyBorder="1" applyAlignment="1">
      <alignment horizontal="center"/>
    </xf>
    <xf numFmtId="170" fontId="4" fillId="0" borderId="56" xfId="0" applyFont="1" applyBorder="1" applyAlignment="1">
      <alignment horizontal="center"/>
    </xf>
    <xf numFmtId="170" fontId="4" fillId="0" borderId="21" xfId="0" applyFont="1" applyBorder="1" applyAlignment="1">
      <alignment horizontal="center"/>
    </xf>
    <xf numFmtId="170" fontId="4" fillId="0" borderId="57" xfId="0" applyFont="1" applyBorder="1" applyAlignment="1" applyProtection="1">
      <alignment horizontal="center" vertical="center" wrapText="1"/>
      <protection/>
    </xf>
    <xf numFmtId="170" fontId="4" fillId="0" borderId="58" xfId="0" applyFont="1" applyBorder="1" applyAlignment="1" applyProtection="1">
      <alignment horizontal="center" vertical="center" wrapText="1"/>
      <protection/>
    </xf>
    <xf numFmtId="170" fontId="4" fillId="0" borderId="59" xfId="0" applyFont="1" applyBorder="1" applyAlignment="1" applyProtection="1">
      <alignment horizontal="center" vertical="center" wrapText="1"/>
      <protection/>
    </xf>
    <xf numFmtId="170" fontId="13" fillId="0" borderId="16" xfId="0" applyFont="1" applyBorder="1" applyAlignment="1">
      <alignment horizontal="center"/>
    </xf>
    <xf numFmtId="170" fontId="13" fillId="0" borderId="60" xfId="0" applyFont="1" applyBorder="1" applyAlignment="1">
      <alignment horizontal="center"/>
    </xf>
    <xf numFmtId="170" fontId="13" fillId="0" borderId="61" xfId="0" applyFont="1" applyBorder="1" applyAlignment="1">
      <alignment horizontal="center"/>
    </xf>
    <xf numFmtId="170" fontId="13" fillId="0" borderId="62" xfId="0" applyFont="1" applyBorder="1" applyAlignment="1">
      <alignment horizontal="center"/>
    </xf>
    <xf numFmtId="170" fontId="13" fillId="0" borderId="42" xfId="0" applyFont="1" applyBorder="1" applyAlignment="1">
      <alignment vertical="center" wrapText="1"/>
    </xf>
    <xf numFmtId="170" fontId="13" fillId="0" borderId="43" xfId="0" applyFont="1" applyBorder="1" applyAlignment="1">
      <alignment vertical="center" wrapText="1"/>
    </xf>
    <xf numFmtId="170" fontId="13" fillId="0" borderId="63" xfId="0" applyFont="1" applyBorder="1" applyAlignment="1">
      <alignment vertical="center" wrapText="1"/>
    </xf>
    <xf numFmtId="170" fontId="13" fillId="0" borderId="64" xfId="0" applyFont="1" applyBorder="1" applyAlignment="1">
      <alignment vertical="center" wrapText="1"/>
    </xf>
    <xf numFmtId="170" fontId="13" fillId="0" borderId="41" xfId="0" applyFont="1" applyBorder="1" applyAlignment="1">
      <alignment horizontal="center" vertical="center"/>
    </xf>
    <xf numFmtId="170" fontId="4" fillId="5" borderId="65" xfId="31" applyFont="1" applyFill="1" applyBorder="1" applyAlignment="1">
      <alignment horizontal="left" vertical="center" wrapText="1"/>
      <protection/>
    </xf>
    <xf numFmtId="170" fontId="4" fillId="5" borderId="1" xfId="31" applyFont="1" applyFill="1" applyBorder="1" applyAlignment="1">
      <alignment horizontal="left" vertical="center" wrapText="1"/>
      <protection/>
    </xf>
    <xf numFmtId="0" fontId="4" fillId="3" borderId="29" xfId="31" applyNumberFormat="1" applyFont="1" applyFill="1" applyBorder="1" applyAlignment="1">
      <alignment horizontal="left" vertical="center" wrapText="1"/>
      <protection/>
    </xf>
    <xf numFmtId="0" fontId="4" fillId="3" borderId="1" xfId="31" applyNumberFormat="1" applyFont="1" applyFill="1" applyBorder="1" applyAlignment="1">
      <alignment horizontal="left" vertical="center" wrapText="1"/>
      <protection/>
    </xf>
    <xf numFmtId="0" fontId="4" fillId="3" borderId="66" xfId="31" applyNumberFormat="1" applyFont="1" applyFill="1" applyBorder="1" applyAlignment="1">
      <alignment horizontal="left" vertical="center" wrapText="1"/>
      <protection/>
    </xf>
    <xf numFmtId="170" fontId="4" fillId="5" borderId="7" xfId="31" applyFont="1" applyFill="1" applyBorder="1" applyAlignment="1">
      <alignment horizontal="center" vertical="center" wrapText="1"/>
      <protection/>
    </xf>
    <xf numFmtId="170" fontId="4" fillId="5" borderId="1" xfId="31" applyFont="1" applyFill="1" applyBorder="1" applyAlignment="1">
      <alignment horizontal="center" vertical="center" wrapText="1"/>
      <protection/>
    </xf>
    <xf numFmtId="176" fontId="4" fillId="3" borderId="1" xfId="31" applyNumberFormat="1" applyFont="1" applyFill="1" applyBorder="1" applyAlignment="1">
      <alignment horizontal="center" vertical="center" wrapText="1"/>
      <protection/>
    </xf>
    <xf numFmtId="176" fontId="4" fillId="3" borderId="66" xfId="31" applyNumberFormat="1" applyFont="1" applyFill="1" applyBorder="1" applyAlignment="1">
      <alignment horizontal="center" vertical="center" wrapText="1"/>
      <protection/>
    </xf>
    <xf numFmtId="170" fontId="4" fillId="5" borderId="67" xfId="31" applyFont="1" applyFill="1" applyBorder="1" applyAlignment="1">
      <alignment vertical="center" wrapText="1"/>
      <protection/>
    </xf>
    <xf numFmtId="170" fontId="4" fillId="5" borderId="39" xfId="31" applyFont="1" applyFill="1" applyBorder="1" applyAlignment="1">
      <alignment vertical="center" wrapText="1"/>
      <protection/>
    </xf>
    <xf numFmtId="170" fontId="4" fillId="5" borderId="68" xfId="31" applyFont="1" applyFill="1" applyBorder="1" applyAlignment="1">
      <alignment vertical="center" wrapText="1"/>
      <protection/>
    </xf>
    <xf numFmtId="170" fontId="4" fillId="5" borderId="40" xfId="31" applyFont="1" applyFill="1" applyBorder="1" applyAlignment="1">
      <alignment vertical="center" wrapText="1"/>
      <protection/>
    </xf>
    <xf numFmtId="174" fontId="4" fillId="5" borderId="1" xfId="0" applyNumberFormat="1" applyFont="1" applyFill="1" applyBorder="1" applyAlignment="1" applyProtection="1">
      <alignment vertical="center" wrapText="1"/>
      <protection/>
    </xf>
    <xf numFmtId="174" fontId="4" fillId="5" borderId="33" xfId="0" applyNumberFormat="1" applyFont="1" applyFill="1" applyBorder="1" applyAlignment="1" applyProtection="1">
      <alignment vertical="center" wrapText="1"/>
      <protection/>
    </xf>
    <xf numFmtId="170" fontId="4" fillId="5" borderId="65" xfId="31" applyFont="1" applyFill="1" applyBorder="1" applyAlignment="1">
      <alignment horizontal="left" vertical="center"/>
      <protection/>
    </xf>
    <xf numFmtId="170" fontId="4" fillId="5" borderId="1" xfId="31" applyFont="1" applyFill="1" applyBorder="1" applyAlignment="1">
      <alignment horizontal="left" vertical="center"/>
      <protection/>
    </xf>
    <xf numFmtId="170" fontId="4" fillId="0" borderId="1" xfId="0" applyFont="1" applyBorder="1" applyAlignment="1">
      <alignment horizontal="left" vertical="center" wrapText="1"/>
    </xf>
    <xf numFmtId="170" fontId="4" fillId="0" borderId="66" xfId="0" applyFont="1" applyBorder="1" applyAlignment="1">
      <alignment horizontal="left" vertical="center" wrapText="1"/>
    </xf>
    <xf numFmtId="170" fontId="16" fillId="4" borderId="69" xfId="31" applyFont="1" applyFill="1" applyBorder="1" applyAlignment="1">
      <alignment horizontal="center" vertical="center" wrapText="1"/>
      <protection/>
    </xf>
    <xf numFmtId="170" fontId="16" fillId="4" borderId="70" xfId="31" applyFont="1" applyFill="1" applyBorder="1" applyAlignment="1">
      <alignment horizontal="center" vertical="center" wrapText="1"/>
      <protection/>
    </xf>
    <xf numFmtId="170" fontId="16" fillId="4" borderId="71" xfId="31" applyFont="1" applyFill="1" applyBorder="1" applyAlignment="1">
      <alignment horizontal="center" vertical="center" wrapText="1"/>
      <protection/>
    </xf>
    <xf numFmtId="170" fontId="4" fillId="5" borderId="1" xfId="31" applyFont="1" applyFill="1" applyBorder="1" applyAlignment="1">
      <alignment horizontal="center" vertical="center"/>
      <protection/>
    </xf>
    <xf numFmtId="170" fontId="4" fillId="3" borderId="1" xfId="31" applyFont="1" applyFill="1" applyBorder="1" applyAlignment="1">
      <alignment horizontal="center" vertical="center"/>
      <protection/>
    </xf>
    <xf numFmtId="170" fontId="4" fillId="3" borderId="66" xfId="31" applyFont="1" applyFill="1" applyBorder="1" applyAlignment="1">
      <alignment horizontal="center" vertical="center"/>
      <protection/>
    </xf>
    <xf numFmtId="10" fontId="13" fillId="2" borderId="1" xfId="21" applyNumberFormat="1" applyFont="1" applyFill="1" applyBorder="1" applyAlignment="1" applyProtection="1">
      <alignment horizontal="center" vertical="center"/>
      <protection/>
    </xf>
    <xf numFmtId="170" fontId="11" fillId="0" borderId="0" xfId="0" applyFont="1" applyBorder="1" applyAlignment="1">
      <alignment horizontal="center"/>
    </xf>
    <xf numFmtId="165" fontId="13" fillId="19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170" fontId="13" fillId="2" borderId="4" xfId="0" applyFont="1" applyFill="1" applyBorder="1" applyAlignment="1">
      <alignment horizontal="left" vertical="center"/>
    </xf>
    <xf numFmtId="165" fontId="13" fillId="2" borderId="72" xfId="0" applyNumberFormat="1" applyFont="1" applyFill="1" applyBorder="1" applyAlignment="1">
      <alignment horizontal="center" vertical="center"/>
    </xf>
    <xf numFmtId="165" fontId="13" fillId="2" borderId="73" xfId="0" applyNumberFormat="1" applyFont="1" applyFill="1" applyBorder="1" applyAlignment="1">
      <alignment horizontal="center" vertical="center"/>
    </xf>
    <xf numFmtId="165" fontId="13" fillId="2" borderId="74" xfId="0" applyNumberFormat="1" applyFont="1" applyFill="1" applyBorder="1" applyAlignment="1">
      <alignment horizontal="center" vertical="center"/>
    </xf>
    <xf numFmtId="165" fontId="13" fillId="21" borderId="75" xfId="0" applyNumberFormat="1" applyFont="1" applyFill="1" applyBorder="1" applyAlignment="1">
      <alignment horizontal="center" vertical="center"/>
    </xf>
    <xf numFmtId="165" fontId="13" fillId="2" borderId="76" xfId="0" applyNumberFormat="1" applyFont="1" applyFill="1" applyBorder="1" applyAlignment="1">
      <alignment horizontal="center" vertical="center"/>
    </xf>
    <xf numFmtId="165" fontId="13" fillId="2" borderId="77" xfId="0" applyNumberFormat="1" applyFont="1" applyFill="1" applyBorder="1" applyAlignment="1">
      <alignment horizontal="center" vertical="center"/>
    </xf>
    <xf numFmtId="165" fontId="13" fillId="0" borderId="75" xfId="0" applyNumberFormat="1" applyFont="1" applyFill="1" applyBorder="1" applyAlignment="1">
      <alignment horizontal="center" vertical="center"/>
    </xf>
    <xf numFmtId="165" fontId="13" fillId="0" borderId="78" xfId="0" applyNumberFormat="1" applyFont="1" applyFill="1" applyBorder="1" applyAlignment="1">
      <alignment horizontal="center" vertical="center"/>
    </xf>
    <xf numFmtId="165" fontId="13" fillId="0" borderId="79" xfId="0" applyNumberFormat="1" applyFont="1" applyFill="1" applyBorder="1" applyAlignment="1">
      <alignment horizontal="center" vertical="center"/>
    </xf>
    <xf numFmtId="170" fontId="13" fillId="2" borderId="80" xfId="0" applyFont="1" applyFill="1" applyBorder="1" applyAlignment="1">
      <alignment horizontal="left" vertical="center"/>
    </xf>
    <xf numFmtId="9" fontId="13" fillId="21" borderId="81" xfId="0" applyNumberFormat="1" applyFont="1" applyFill="1" applyBorder="1" applyAlignment="1">
      <alignment horizontal="center" vertical="center"/>
    </xf>
    <xf numFmtId="9" fontId="13" fillId="2" borderId="82" xfId="0" applyNumberFormat="1" applyFont="1" applyFill="1" applyBorder="1" applyAlignment="1">
      <alignment horizontal="center" vertical="center"/>
    </xf>
    <xf numFmtId="9" fontId="13" fillId="2" borderId="83" xfId="0" applyNumberFormat="1" applyFont="1" applyFill="1" applyBorder="1" applyAlignment="1">
      <alignment horizontal="center" vertical="center"/>
    </xf>
    <xf numFmtId="9" fontId="13" fillId="0" borderId="81" xfId="0" applyNumberFormat="1" applyFont="1" applyFill="1" applyBorder="1" applyAlignment="1">
      <alignment horizontal="center" vertical="center"/>
    </xf>
    <xf numFmtId="9" fontId="13" fillId="0" borderId="84" xfId="0" applyNumberFormat="1" applyFont="1" applyFill="1" applyBorder="1" applyAlignment="1">
      <alignment horizontal="center" vertical="center"/>
    </xf>
    <xf numFmtId="10" fontId="13" fillId="2" borderId="82" xfId="0" applyNumberFormat="1" applyFont="1" applyFill="1" applyBorder="1" applyAlignment="1">
      <alignment horizontal="center" vertical="center"/>
    </xf>
    <xf numFmtId="10" fontId="13" fillId="2" borderId="83" xfId="0" applyNumberFormat="1" applyFont="1" applyFill="1" applyBorder="1" applyAlignment="1">
      <alignment horizontal="center" vertical="center"/>
    </xf>
    <xf numFmtId="9" fontId="13" fillId="0" borderId="85" xfId="0" applyNumberFormat="1" applyFont="1" applyFill="1" applyBorder="1" applyAlignment="1">
      <alignment horizontal="center" vertical="center"/>
    </xf>
    <xf numFmtId="9" fontId="13" fillId="0" borderId="86" xfId="0" applyNumberFormat="1" applyFont="1" applyFill="1" applyBorder="1" applyAlignment="1">
      <alignment horizontal="center" vertical="center"/>
    </xf>
    <xf numFmtId="165" fontId="13" fillId="0" borderId="87" xfId="0" applyNumberFormat="1" applyFont="1" applyFill="1" applyBorder="1" applyAlignment="1">
      <alignment horizontal="center" vertical="center"/>
    </xf>
    <xf numFmtId="165" fontId="13" fillId="0" borderId="88" xfId="0" applyNumberFormat="1" applyFont="1" applyFill="1" applyBorder="1" applyAlignment="1">
      <alignment horizontal="center" vertical="center"/>
    </xf>
    <xf numFmtId="165" fontId="13" fillId="0" borderId="76" xfId="0" applyNumberFormat="1" applyFont="1" applyFill="1" applyBorder="1" applyAlignment="1">
      <alignment horizontal="center" vertical="center"/>
    </xf>
    <xf numFmtId="165" fontId="13" fillId="21" borderId="89" xfId="0" applyNumberFormat="1" applyFont="1" applyFill="1" applyBorder="1" applyAlignment="1">
      <alignment horizontal="center" vertical="center"/>
    </xf>
    <xf numFmtId="165" fontId="13" fillId="21" borderId="78" xfId="0" applyNumberFormat="1" applyFont="1" applyFill="1" applyBorder="1" applyAlignment="1">
      <alignment horizontal="center" vertical="center"/>
    </xf>
    <xf numFmtId="165" fontId="13" fillId="21" borderId="90" xfId="0" applyNumberFormat="1" applyFont="1" applyFill="1" applyBorder="1" applyAlignment="1">
      <alignment horizontal="center" vertical="center"/>
    </xf>
    <xf numFmtId="165" fontId="13" fillId="2" borderId="78" xfId="0" applyNumberFormat="1" applyFont="1" applyFill="1" applyBorder="1" applyAlignment="1">
      <alignment horizontal="center" vertical="center"/>
    </xf>
    <xf numFmtId="165" fontId="13" fillId="2" borderId="90" xfId="0" applyNumberFormat="1" applyFont="1" applyFill="1" applyBorder="1" applyAlignment="1">
      <alignment horizontal="center" vertical="center"/>
    </xf>
    <xf numFmtId="165" fontId="13" fillId="2" borderId="91" xfId="0" applyNumberFormat="1" applyFont="1" applyFill="1" applyBorder="1" applyAlignment="1">
      <alignment horizontal="center" vertical="center"/>
    </xf>
    <xf numFmtId="165" fontId="13" fillId="0" borderId="92" xfId="0" applyNumberFormat="1" applyFont="1" applyFill="1" applyBorder="1" applyAlignment="1">
      <alignment horizontal="center" vertical="center"/>
    </xf>
    <xf numFmtId="165" fontId="13" fillId="0" borderId="93" xfId="0" applyNumberFormat="1" applyFont="1" applyFill="1" applyBorder="1" applyAlignment="1">
      <alignment horizontal="center" vertical="center"/>
    </xf>
    <xf numFmtId="165" fontId="13" fillId="0" borderId="89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165" fontId="13" fillId="0" borderId="96" xfId="0" applyNumberFormat="1" applyFont="1" applyFill="1" applyBorder="1" applyAlignment="1">
      <alignment horizontal="center" vertical="center"/>
    </xf>
    <xf numFmtId="170" fontId="13" fillId="2" borderId="4" xfId="0" applyFont="1" applyFill="1" applyBorder="1" applyAlignment="1">
      <alignment vertical="center"/>
    </xf>
    <xf numFmtId="9" fontId="13" fillId="21" borderId="82" xfId="0" applyNumberFormat="1" applyFont="1" applyFill="1" applyBorder="1" applyAlignment="1">
      <alignment horizontal="center" vertical="center"/>
    </xf>
    <xf numFmtId="9" fontId="13" fillId="21" borderId="86" xfId="0" applyNumberFormat="1" applyFont="1" applyFill="1" applyBorder="1" applyAlignment="1">
      <alignment horizontal="center" vertical="center"/>
    </xf>
    <xf numFmtId="9" fontId="13" fillId="2" borderId="86" xfId="0" applyNumberFormat="1" applyFont="1" applyFill="1" applyBorder="1" applyAlignment="1">
      <alignment horizontal="center" vertical="center"/>
    </xf>
    <xf numFmtId="9" fontId="13" fillId="0" borderId="83" xfId="0" applyNumberFormat="1" applyFont="1" applyFill="1" applyBorder="1" applyAlignment="1">
      <alignment horizontal="center" vertical="center"/>
    </xf>
    <xf numFmtId="9" fontId="13" fillId="2" borderId="97" xfId="0" applyNumberFormat="1" applyFont="1" applyFill="1" applyBorder="1" applyAlignment="1">
      <alignment horizontal="center" vertical="center"/>
    </xf>
    <xf numFmtId="9" fontId="13" fillId="2" borderId="98" xfId="0" applyNumberFormat="1" applyFont="1" applyFill="1" applyBorder="1" applyAlignment="1">
      <alignment horizontal="center" vertical="center"/>
    </xf>
    <xf numFmtId="9" fontId="13" fillId="0" borderId="97" xfId="0" applyNumberFormat="1" applyFont="1" applyFill="1" applyBorder="1" applyAlignment="1">
      <alignment horizontal="center" vertical="center"/>
    </xf>
    <xf numFmtId="9" fontId="13" fillId="0" borderId="98" xfId="0" applyNumberFormat="1" applyFont="1" applyFill="1" applyBorder="1" applyAlignment="1">
      <alignment horizontal="center" vertical="center"/>
    </xf>
    <xf numFmtId="165" fontId="13" fillId="21" borderId="87" xfId="0" applyNumberFormat="1" applyFont="1" applyFill="1" applyBorder="1" applyAlignment="1">
      <alignment horizontal="center" vertical="center"/>
    </xf>
    <xf numFmtId="165" fontId="13" fillId="21" borderId="88" xfId="0" applyNumberFormat="1" applyFont="1" applyFill="1" applyBorder="1" applyAlignment="1">
      <alignment horizontal="center" vertical="center"/>
    </xf>
    <xf numFmtId="165" fontId="13" fillId="2" borderId="95" xfId="0" applyNumberFormat="1" applyFont="1" applyFill="1" applyBorder="1" applyAlignment="1">
      <alignment horizontal="center" vertical="center"/>
    </xf>
    <xf numFmtId="165" fontId="13" fillId="2" borderId="96" xfId="0" applyNumberFormat="1" applyFont="1" applyFill="1" applyBorder="1" applyAlignment="1">
      <alignment horizontal="center" vertical="center"/>
    </xf>
    <xf numFmtId="170" fontId="13" fillId="2" borderId="3" xfId="0" applyFont="1" applyFill="1" applyBorder="1" applyAlignment="1">
      <alignment horizontal="left" vertical="center"/>
    </xf>
    <xf numFmtId="9" fontId="13" fillId="21" borderId="99" xfId="0" applyNumberFormat="1" applyFont="1" applyFill="1" applyBorder="1" applyAlignment="1">
      <alignment horizontal="center" vertical="center"/>
    </xf>
    <xf numFmtId="9" fontId="13" fillId="21" borderId="100" xfId="0" applyNumberFormat="1" applyFont="1" applyFill="1" applyBorder="1" applyAlignment="1">
      <alignment horizontal="center" vertical="center"/>
    </xf>
    <xf numFmtId="9" fontId="13" fillId="0" borderId="101" xfId="0" applyNumberFormat="1" applyFont="1" applyFill="1" applyBorder="1" applyAlignment="1">
      <alignment horizontal="center" vertical="center"/>
    </xf>
    <xf numFmtId="9" fontId="13" fillId="0" borderId="102" xfId="0" applyNumberFormat="1" applyFont="1" applyFill="1" applyBorder="1" applyAlignment="1">
      <alignment horizontal="center" vertical="center"/>
    </xf>
    <xf numFmtId="165" fontId="13" fillId="2" borderId="44" xfId="0" applyNumberFormat="1" applyFont="1" applyFill="1" applyBorder="1" applyAlignment="1">
      <alignment horizontal="center" vertical="center"/>
    </xf>
    <xf numFmtId="165" fontId="13" fillId="2" borderId="103" xfId="0" applyNumberFormat="1" applyFont="1" applyFill="1" applyBorder="1" applyAlignment="1">
      <alignment horizontal="center" vertical="center"/>
    </xf>
    <xf numFmtId="165" fontId="13" fillId="2" borderId="104" xfId="0" applyNumberFormat="1" applyFont="1" applyFill="1" applyBorder="1" applyAlignment="1">
      <alignment horizontal="center" vertical="center"/>
    </xf>
    <xf numFmtId="165" fontId="13" fillId="2" borderId="75" xfId="0" applyNumberFormat="1" applyFont="1" applyFill="1" applyBorder="1" applyAlignment="1">
      <alignment horizontal="center" vertical="center"/>
    </xf>
    <xf numFmtId="170" fontId="13" fillId="2" borderId="37" xfId="0" applyFont="1" applyFill="1" applyBorder="1" applyAlignment="1">
      <alignment horizontal="left" vertical="center"/>
    </xf>
    <xf numFmtId="170" fontId="13" fillId="2" borderId="105" xfId="0" applyFont="1" applyFill="1" applyBorder="1" applyAlignment="1">
      <alignment horizontal="left" vertical="center"/>
    </xf>
    <xf numFmtId="9" fontId="13" fillId="2" borderId="101" xfId="0" applyNumberFormat="1" applyFont="1" applyFill="1" applyBorder="1" applyAlignment="1">
      <alignment horizontal="center" vertical="center"/>
    </xf>
    <xf numFmtId="170" fontId="4" fillId="17" borderId="1" xfId="0" applyFont="1" applyFill="1" applyBorder="1" applyAlignment="1">
      <alignment horizontal="center" vertical="center"/>
    </xf>
    <xf numFmtId="3" fontId="13" fillId="2" borderId="106" xfId="0" applyNumberFormat="1" applyFont="1" applyFill="1" applyBorder="1" applyAlignment="1">
      <alignment horizontal="center" vertical="center"/>
    </xf>
    <xf numFmtId="3" fontId="13" fillId="2" borderId="107" xfId="0" applyNumberFormat="1" applyFont="1" applyFill="1" applyBorder="1" applyAlignment="1">
      <alignment horizontal="center" vertical="center"/>
    </xf>
    <xf numFmtId="170" fontId="13" fillId="2" borderId="108" xfId="0" applyFont="1" applyFill="1" applyBorder="1" applyAlignment="1">
      <alignment horizontal="left" vertical="center"/>
    </xf>
    <xf numFmtId="10" fontId="13" fillId="2" borderId="81" xfId="0" applyNumberFormat="1" applyFont="1" applyFill="1" applyBorder="1" applyAlignment="1">
      <alignment horizontal="center" vertical="center"/>
    </xf>
    <xf numFmtId="10" fontId="13" fillId="0" borderId="81" xfId="0" applyNumberFormat="1" applyFont="1" applyFill="1" applyBorder="1" applyAlignment="1">
      <alignment horizontal="center" vertical="center"/>
    </xf>
    <xf numFmtId="170" fontId="4" fillId="5" borderId="40" xfId="31" applyFont="1" applyFill="1" applyBorder="1" applyAlignment="1">
      <alignment horizontal="center" vertical="center"/>
      <protection/>
    </xf>
    <xf numFmtId="170" fontId="4" fillId="5" borderId="36" xfId="31" applyFont="1" applyFill="1" applyBorder="1" applyAlignment="1">
      <alignment horizontal="center" vertical="center"/>
      <protection/>
    </xf>
    <xf numFmtId="176" fontId="4" fillId="3" borderId="38" xfId="31" applyNumberFormat="1" applyFont="1" applyFill="1" applyBorder="1" applyAlignment="1">
      <alignment horizontal="center" vertical="center" wrapText="1"/>
      <protection/>
    </xf>
    <xf numFmtId="176" fontId="4" fillId="3" borderId="41" xfId="31" applyNumberFormat="1" applyFont="1" applyFill="1" applyBorder="1" applyAlignment="1">
      <alignment horizontal="center" vertical="center" wrapText="1"/>
      <protection/>
    </xf>
    <xf numFmtId="176" fontId="4" fillId="3" borderId="39" xfId="31" applyNumberFormat="1" applyFont="1" applyFill="1" applyBorder="1" applyAlignment="1">
      <alignment horizontal="center" vertical="center" wrapText="1"/>
      <protection/>
    </xf>
    <xf numFmtId="176" fontId="4" fillId="3" borderId="34" xfId="31" applyNumberFormat="1" applyFont="1" applyFill="1" applyBorder="1" applyAlignment="1">
      <alignment horizontal="center" vertical="center" wrapText="1"/>
      <protection/>
    </xf>
    <xf numFmtId="176" fontId="4" fillId="3" borderId="35" xfId="31" applyNumberFormat="1" applyFont="1" applyFill="1" applyBorder="1" applyAlignment="1">
      <alignment horizontal="center" vertical="center" wrapText="1"/>
      <protection/>
    </xf>
    <xf numFmtId="176" fontId="4" fillId="3" borderId="40" xfId="31" applyNumberFormat="1" applyFont="1" applyFill="1" applyBorder="1" applyAlignment="1">
      <alignment horizontal="center" vertical="center" wrapText="1"/>
      <protection/>
    </xf>
    <xf numFmtId="0" fontId="4" fillId="3" borderId="36" xfId="31" applyNumberFormat="1" applyFont="1" applyFill="1" applyBorder="1" applyAlignment="1">
      <alignment horizontal="left" vertical="center" wrapText="1"/>
      <protection/>
    </xf>
    <xf numFmtId="174" fontId="4" fillId="5" borderId="1" xfId="0" applyNumberFormat="1" applyFont="1" applyFill="1" applyBorder="1" applyAlignment="1" applyProtection="1">
      <alignment horizontal="center" vertical="center" wrapText="1"/>
      <protection/>
    </xf>
    <xf numFmtId="174" fontId="4" fillId="3" borderId="33" xfId="0" applyNumberFormat="1" applyFont="1" applyFill="1" applyBorder="1" applyAlignment="1" applyProtection="1">
      <alignment horizontal="center" vertical="center" wrapText="1"/>
      <protection/>
    </xf>
    <xf numFmtId="174" fontId="4" fillId="3" borderId="6" xfId="0" applyNumberFormat="1" applyFont="1" applyFill="1" applyBorder="1" applyAlignment="1" applyProtection="1">
      <alignment horizontal="center" vertical="center" wrapText="1"/>
      <protection/>
    </xf>
    <xf numFmtId="174" fontId="4" fillId="3" borderId="7" xfId="0" applyNumberFormat="1" applyFont="1" applyFill="1" applyBorder="1" applyAlignment="1" applyProtection="1">
      <alignment horizontal="center" vertical="center" wrapText="1"/>
      <protection/>
    </xf>
    <xf numFmtId="170" fontId="4" fillId="5" borderId="36" xfId="31" applyFont="1" applyFill="1" applyBorder="1" applyAlignment="1">
      <alignment horizontal="left" vertical="center"/>
      <protection/>
    </xf>
    <xf numFmtId="0" fontId="4" fillId="3" borderId="36" xfId="31" applyNumberFormat="1" applyFont="1" applyFill="1" applyBorder="1" applyAlignment="1">
      <alignment horizontal="left" vertical="center"/>
      <protection/>
    </xf>
    <xf numFmtId="170" fontId="4" fillId="3" borderId="34" xfId="31" applyFont="1" applyFill="1" applyBorder="1" applyAlignment="1">
      <alignment horizontal="center" vertical="center"/>
      <protection/>
    </xf>
    <xf numFmtId="170" fontId="4" fillId="3" borderId="35" xfId="31" applyFont="1" applyFill="1" applyBorder="1" applyAlignment="1">
      <alignment horizontal="center" vertical="center"/>
      <protection/>
    </xf>
    <xf numFmtId="170" fontId="4" fillId="3" borderId="40" xfId="31" applyFont="1" applyFill="1" applyBorder="1" applyAlignment="1">
      <alignment horizontal="center" vertical="center"/>
      <protection/>
    </xf>
    <xf numFmtId="170" fontId="4" fillId="0" borderId="33" xfId="0" applyFont="1" applyBorder="1" applyAlignment="1">
      <alignment horizontal="left" vertical="center"/>
    </xf>
    <xf numFmtId="170" fontId="4" fillId="0" borderId="6" xfId="0" applyFont="1" applyBorder="1" applyAlignment="1">
      <alignment horizontal="left" vertical="center"/>
    </xf>
    <xf numFmtId="170" fontId="4" fillId="0" borderId="7" xfId="0" applyFont="1" applyBorder="1" applyAlignment="1">
      <alignment horizontal="left" vertical="center"/>
    </xf>
    <xf numFmtId="0" fontId="4" fillId="3" borderId="38" xfId="31" applyNumberFormat="1" applyFont="1" applyFill="1" applyBorder="1" applyAlignment="1">
      <alignment horizontal="left" vertical="center"/>
      <protection/>
    </xf>
    <xf numFmtId="0" fontId="4" fillId="3" borderId="41" xfId="31" applyNumberFormat="1" applyFont="1" applyFill="1" applyBorder="1" applyAlignment="1">
      <alignment horizontal="left" vertical="center"/>
      <protection/>
    </xf>
    <xf numFmtId="0" fontId="4" fillId="3" borderId="6" xfId="31" applyNumberFormat="1" applyFont="1" applyFill="1" applyBorder="1" applyAlignment="1">
      <alignment horizontal="left" vertical="center"/>
      <protection/>
    </xf>
    <xf numFmtId="0" fontId="4" fillId="3" borderId="7" xfId="31" applyNumberFormat="1" applyFont="1" applyFill="1" applyBorder="1" applyAlignment="1">
      <alignment horizontal="left" vertical="center"/>
      <protection/>
    </xf>
    <xf numFmtId="2" fontId="13" fillId="0" borderId="33" xfId="0" applyNumberFormat="1" applyFont="1" applyFill="1" applyBorder="1" applyAlignment="1">
      <alignment horizontal="left" vertical="center" wrapText="1"/>
    </xf>
    <xf numFmtId="2" fontId="13" fillId="0" borderId="6" xfId="0" applyNumberFormat="1" applyFont="1" applyFill="1" applyBorder="1" applyAlignment="1">
      <alignment horizontal="left" vertical="center" wrapText="1"/>
    </xf>
    <xf numFmtId="2" fontId="13" fillId="0" borderId="7" xfId="0" applyNumberFormat="1" applyFont="1" applyFill="1" applyBorder="1" applyAlignment="1">
      <alignment horizontal="left" vertical="center" wrapText="1"/>
    </xf>
    <xf numFmtId="0" fontId="18" fillId="12" borderId="33" xfId="0" applyNumberFormat="1" applyFont="1" applyFill="1" applyBorder="1" applyAlignment="1">
      <alignment horizontal="left" vertical="center" wrapText="1"/>
    </xf>
    <xf numFmtId="0" fontId="18" fillId="12" borderId="6" xfId="0" applyNumberFormat="1" applyFont="1" applyFill="1" applyBorder="1" applyAlignment="1">
      <alignment horizontal="left" vertical="center" wrapText="1"/>
    </xf>
    <xf numFmtId="0" fontId="18" fillId="12" borderId="7" xfId="0" applyNumberFormat="1" applyFont="1" applyFill="1" applyBorder="1" applyAlignment="1">
      <alignment horizontal="left" vertical="center" wrapText="1"/>
    </xf>
    <xf numFmtId="0" fontId="11" fillId="13" borderId="42" xfId="54" applyFont="1" applyFill="1" applyBorder="1" applyAlignment="1">
      <alignment horizontal="center" vertical="center" wrapText="1"/>
      <protection/>
    </xf>
    <xf numFmtId="0" fontId="11" fillId="13" borderId="0" xfId="54" applyFont="1" applyFill="1" applyBorder="1" applyAlignment="1">
      <alignment horizontal="center" vertical="center" wrapText="1"/>
      <protection/>
    </xf>
    <xf numFmtId="0" fontId="11" fillId="13" borderId="43" xfId="54" applyFont="1" applyFill="1" applyBorder="1" applyAlignment="1">
      <alignment horizontal="center" vertical="center" wrapText="1"/>
      <protection/>
    </xf>
    <xf numFmtId="170" fontId="18" fillId="12" borderId="33" xfId="0" applyFont="1" applyFill="1" applyBorder="1" applyAlignment="1">
      <alignment horizontal="left" vertical="center" wrapText="1"/>
    </xf>
    <xf numFmtId="170" fontId="18" fillId="12" borderId="6" xfId="0" applyFont="1" applyFill="1" applyBorder="1" applyAlignment="1">
      <alignment horizontal="left" vertical="center" wrapText="1"/>
    </xf>
    <xf numFmtId="170" fontId="18" fillId="12" borderId="7" xfId="0" applyFont="1" applyFill="1" applyBorder="1" applyAlignment="1">
      <alignment horizontal="left" vertical="center" wrapText="1"/>
    </xf>
    <xf numFmtId="2" fontId="0" fillId="0" borderId="33" xfId="0" applyNumberFormat="1" applyFont="1" applyFill="1" applyBorder="1" applyAlignment="1">
      <alignment horizontal="left" vertical="center" wrapText="1"/>
    </xf>
    <xf numFmtId="2" fontId="0" fillId="0" borderId="6" xfId="0" applyNumberFormat="1" applyFont="1" applyFill="1" applyBorder="1" applyAlignment="1">
      <alignment horizontal="left" vertical="center" wrapText="1"/>
    </xf>
    <xf numFmtId="2" fontId="0" fillId="0" borderId="7" xfId="0" applyNumberFormat="1" applyFont="1" applyFill="1" applyBorder="1" applyAlignment="1">
      <alignment horizontal="left" vertical="center" wrapText="1"/>
    </xf>
    <xf numFmtId="170" fontId="18" fillId="12" borderId="33" xfId="0" applyFont="1" applyFill="1" applyBorder="1" applyAlignment="1">
      <alignment horizontal="left" vertical="center"/>
    </xf>
    <xf numFmtId="170" fontId="18" fillId="12" borderId="6" xfId="0" applyFont="1" applyFill="1" applyBorder="1" applyAlignment="1">
      <alignment horizontal="left" vertical="center"/>
    </xf>
    <xf numFmtId="170" fontId="18" fillId="12" borderId="7" xfId="0" applyFont="1" applyFill="1" applyBorder="1" applyAlignment="1">
      <alignment horizontal="left" vertical="center"/>
    </xf>
    <xf numFmtId="2" fontId="0" fillId="0" borderId="33" xfId="0" applyNumberFormat="1" applyFont="1" applyFill="1" applyBorder="1" applyAlignment="1">
      <alignment horizontal="left" vertical="center"/>
    </xf>
    <xf numFmtId="2" fontId="0" fillId="0" borderId="6" xfId="0" applyNumberFormat="1" applyFont="1" applyFill="1" applyBorder="1" applyAlignment="1">
      <alignment horizontal="left" vertical="center"/>
    </xf>
    <xf numFmtId="2" fontId="0" fillId="0" borderId="7" xfId="0" applyNumberFormat="1" applyFont="1" applyFill="1" applyBorder="1" applyAlignment="1">
      <alignment horizontal="left" vertical="center"/>
    </xf>
    <xf numFmtId="2" fontId="2" fillId="0" borderId="6" xfId="0" applyNumberFormat="1" applyFont="1" applyFill="1" applyBorder="1" applyAlignment="1">
      <alignment horizontal="left" vertical="center" wrapText="1"/>
    </xf>
    <xf numFmtId="170" fontId="18" fillId="12" borderId="33" xfId="0" applyFont="1" applyFill="1" applyBorder="1" applyAlignment="1">
      <alignment horizontal="left" vertical="top" wrapText="1"/>
    </xf>
    <xf numFmtId="170" fontId="18" fillId="12" borderId="6" xfId="0" applyFont="1" applyFill="1" applyBorder="1" applyAlignment="1">
      <alignment horizontal="left" vertical="top" wrapText="1"/>
    </xf>
    <xf numFmtId="170" fontId="18" fillId="12" borderId="7" xfId="0" applyFont="1" applyFill="1" applyBorder="1" applyAlignment="1">
      <alignment horizontal="left" vertical="top" wrapText="1"/>
    </xf>
    <xf numFmtId="170" fontId="13" fillId="0" borderId="33" xfId="0" applyFont="1" applyFill="1" applyBorder="1" applyAlignment="1">
      <alignment horizontal="left" vertical="center" wrapText="1"/>
    </xf>
    <xf numFmtId="170" fontId="13" fillId="0" borderId="6" xfId="0" applyFont="1" applyFill="1" applyBorder="1" applyAlignment="1">
      <alignment horizontal="left" vertical="center" wrapText="1"/>
    </xf>
    <xf numFmtId="170" fontId="13" fillId="0" borderId="7" xfId="0" applyFont="1" applyFill="1" applyBorder="1" applyAlignment="1">
      <alignment horizontal="left" vertical="center" wrapText="1"/>
    </xf>
    <xf numFmtId="170" fontId="13" fillId="0" borderId="38" xfId="0" applyFont="1" applyFill="1" applyBorder="1" applyAlignment="1">
      <alignment horizontal="left" vertical="center" wrapText="1"/>
    </xf>
    <xf numFmtId="170" fontId="13" fillId="0" borderId="41" xfId="0" applyFont="1" applyFill="1" applyBorder="1" applyAlignment="1">
      <alignment horizontal="left" vertical="center" wrapText="1"/>
    </xf>
    <xf numFmtId="170" fontId="13" fillId="0" borderId="39" xfId="0" applyFont="1" applyFill="1" applyBorder="1" applyAlignment="1">
      <alignment horizontal="left" vertical="center" wrapText="1"/>
    </xf>
    <xf numFmtId="170" fontId="12" fillId="0" borderId="1" xfId="0" applyFont="1" applyFill="1" applyBorder="1" applyAlignment="1">
      <alignment horizontal="left" vertical="center" wrapText="1"/>
    </xf>
    <xf numFmtId="170" fontId="13" fillId="0" borderId="1" xfId="0" applyFont="1" applyFill="1" applyBorder="1" applyAlignment="1">
      <alignment horizontal="left" vertical="center" wrapText="1"/>
    </xf>
    <xf numFmtId="170" fontId="13" fillId="0" borderId="29" xfId="0" applyFont="1" applyFill="1" applyBorder="1" applyAlignment="1">
      <alignment horizontal="left" vertical="center" wrapText="1"/>
    </xf>
    <xf numFmtId="0" fontId="11" fillId="13" borderId="38" xfId="54" applyFont="1" applyFill="1" applyBorder="1" applyAlignment="1">
      <alignment horizontal="center" vertical="center" wrapText="1"/>
      <protection/>
    </xf>
    <xf numFmtId="0" fontId="11" fillId="13" borderId="41" xfId="54" applyFont="1" applyFill="1" applyBorder="1" applyAlignment="1">
      <alignment horizontal="center" vertical="center" wrapText="1"/>
      <protection/>
    </xf>
    <xf numFmtId="0" fontId="11" fillId="13" borderId="39" xfId="54" applyFont="1" applyFill="1" applyBorder="1" applyAlignment="1">
      <alignment horizontal="center" vertical="center" wrapText="1"/>
      <protection/>
    </xf>
    <xf numFmtId="170" fontId="12" fillId="3" borderId="33" xfId="0" applyFont="1" applyFill="1" applyBorder="1" applyAlignment="1">
      <alignment horizontal="left" vertical="center" wrapText="1"/>
    </xf>
    <xf numFmtId="170" fontId="12" fillId="3" borderId="6" xfId="0" applyFont="1" applyFill="1" applyBorder="1" applyAlignment="1">
      <alignment horizontal="left" vertical="center" wrapText="1"/>
    </xf>
    <xf numFmtId="170" fontId="12" fillId="3" borderId="7" xfId="0" applyFont="1" applyFill="1" applyBorder="1" applyAlignment="1">
      <alignment horizontal="left" vertical="center" wrapText="1"/>
    </xf>
    <xf numFmtId="170" fontId="13" fillId="3" borderId="33" xfId="0" applyFont="1" applyFill="1" applyBorder="1" applyAlignment="1">
      <alignment horizontal="left" vertical="center" wrapText="1"/>
    </xf>
    <xf numFmtId="170" fontId="13" fillId="3" borderId="6" xfId="0" applyFont="1" applyFill="1" applyBorder="1" applyAlignment="1">
      <alignment horizontal="left" vertical="center" wrapText="1"/>
    </xf>
    <xf numFmtId="170" fontId="13" fillId="3" borderId="7" xfId="0" applyFont="1" applyFill="1" applyBorder="1" applyAlignment="1">
      <alignment horizontal="left" vertical="center" wrapText="1"/>
    </xf>
    <xf numFmtId="170" fontId="4" fillId="5" borderId="29" xfId="31" applyFont="1" applyFill="1" applyBorder="1" applyAlignment="1">
      <alignment horizontal="left" vertical="center" wrapText="1"/>
      <protection/>
    </xf>
    <xf numFmtId="0" fontId="4" fillId="3" borderId="1" xfId="31" applyNumberFormat="1" applyFont="1" applyFill="1" applyBorder="1" applyAlignment="1">
      <alignment horizontal="left" vertical="center"/>
      <protection/>
    </xf>
    <xf numFmtId="0" fontId="4" fillId="3" borderId="29" xfId="31" applyNumberFormat="1" applyFont="1" applyFill="1" applyBorder="1" applyAlignment="1">
      <alignment horizontal="left" vertical="center"/>
      <protection/>
    </xf>
    <xf numFmtId="176" fontId="4" fillId="3" borderId="1" xfId="31" applyNumberFormat="1" applyFont="1" applyFill="1" applyBorder="1" applyAlignment="1">
      <alignment horizontal="left" vertical="center" wrapText="1"/>
      <protection/>
    </xf>
    <xf numFmtId="170" fontId="4" fillId="5" borderId="36" xfId="31" applyFont="1" applyFill="1" applyBorder="1" applyAlignment="1">
      <alignment horizontal="left" vertical="center" wrapText="1"/>
      <protection/>
    </xf>
    <xf numFmtId="174" fontId="4" fillId="3" borderId="1" xfId="0" applyNumberFormat="1" applyFont="1" applyFill="1" applyBorder="1" applyAlignment="1" applyProtection="1">
      <alignment horizontal="left" vertical="center" wrapText="1"/>
      <protection/>
    </xf>
    <xf numFmtId="170" fontId="4" fillId="5" borderId="33" xfId="31" applyFont="1" applyFill="1" applyBorder="1" applyAlignment="1">
      <alignment horizontal="left" vertical="center"/>
      <protection/>
    </xf>
    <xf numFmtId="170" fontId="4" fillId="5" borderId="7" xfId="31" applyFont="1" applyFill="1" applyBorder="1" applyAlignment="1">
      <alignment horizontal="center" vertical="center"/>
      <protection/>
    </xf>
    <xf numFmtId="170" fontId="4" fillId="3" borderId="1" xfId="31" applyFont="1" applyFill="1" applyBorder="1" applyAlignment="1">
      <alignment horizontal="left" vertical="center"/>
      <protection/>
    </xf>
    <xf numFmtId="170" fontId="4" fillId="0" borderId="36" xfId="0" applyFont="1" applyBorder="1" applyAlignment="1">
      <alignment horizontal="left" vertical="center" wrapText="1"/>
    </xf>
    <xf numFmtId="10" fontId="29" fillId="0" borderId="0" xfId="0" applyNumberFormat="1" applyFont="1" applyBorder="1" applyAlignment="1">
      <alignment horizontal="left" vertical="center" wrapText="1"/>
    </xf>
    <xf numFmtId="0" fontId="0" fillId="0" borderId="35" xfId="20" applyNumberFormat="1" applyFont="1" applyBorder="1" applyAlignment="1">
      <alignment horizontal="center" vertical="center" wrapText="1"/>
    </xf>
    <xf numFmtId="170" fontId="4" fillId="5" borderId="0" xfId="31" applyFont="1" applyFill="1" applyBorder="1" applyAlignment="1">
      <alignment horizontal="left" vertical="center" wrapText="1"/>
      <protection/>
    </xf>
    <xf numFmtId="0" fontId="4" fillId="3" borderId="0" xfId="31" applyNumberFormat="1" applyFont="1" applyFill="1" applyBorder="1" applyAlignment="1">
      <alignment horizontal="center" vertical="center" wrapText="1"/>
      <protection/>
    </xf>
    <xf numFmtId="174" fontId="4" fillId="5" borderId="0" xfId="0" applyNumberFormat="1" applyFont="1" applyFill="1" applyBorder="1" applyAlignment="1" applyProtection="1">
      <alignment horizontal="center" vertical="center" wrapText="1"/>
      <protection/>
    </xf>
    <xf numFmtId="174" fontId="4" fillId="3" borderId="0" xfId="0" applyNumberFormat="1" applyFont="1" applyFill="1" applyBorder="1" applyAlignment="1" applyProtection="1">
      <alignment horizontal="left" vertical="center" wrapText="1"/>
      <protection/>
    </xf>
    <xf numFmtId="170" fontId="2" fillId="16" borderId="1" xfId="0" applyFont="1" applyFill="1" applyBorder="1" applyAlignment="1">
      <alignment horizontal="center" vertical="center" wrapText="1"/>
    </xf>
    <xf numFmtId="170" fontId="2" fillId="0" borderId="33" xfId="0" applyFont="1" applyFill="1" applyBorder="1" applyAlignment="1">
      <alignment horizontal="center" vertical="center" wrapText="1"/>
    </xf>
    <xf numFmtId="170" fontId="2" fillId="0" borderId="6" xfId="0" applyFont="1" applyFill="1" applyBorder="1" applyAlignment="1">
      <alignment horizontal="center" vertical="center" wrapText="1"/>
    </xf>
    <xf numFmtId="170" fontId="2" fillId="5" borderId="1" xfId="31" applyFont="1" applyFill="1" applyBorder="1" applyAlignment="1">
      <alignment horizontal="left" vertical="center" wrapText="1"/>
      <protection/>
    </xf>
    <xf numFmtId="0" fontId="2" fillId="3" borderId="1" xfId="31" applyNumberFormat="1" applyFont="1" applyFill="1" applyBorder="1" applyAlignment="1">
      <alignment horizontal="left" vertical="center" wrapText="1"/>
      <protection/>
    </xf>
    <xf numFmtId="170" fontId="2" fillId="5" borderId="33" xfId="31" applyFont="1" applyFill="1" applyBorder="1" applyAlignment="1">
      <alignment horizontal="left" vertical="center"/>
      <protection/>
    </xf>
    <xf numFmtId="170" fontId="2" fillId="5" borderId="7" xfId="31" applyFont="1" applyFill="1" applyBorder="1" applyAlignment="1">
      <alignment horizontal="left" vertical="center"/>
      <protection/>
    </xf>
    <xf numFmtId="176" fontId="2" fillId="0" borderId="1" xfId="31" applyNumberFormat="1" applyFont="1" applyFill="1" applyBorder="1" applyAlignment="1">
      <alignment horizontal="left" vertical="center" wrapText="1"/>
      <protection/>
    </xf>
    <xf numFmtId="174" fontId="2" fillId="5" borderId="1" xfId="0" applyNumberFormat="1" applyFont="1" applyFill="1" applyBorder="1" applyAlignment="1" applyProtection="1">
      <alignment horizontal="left" vertical="center" wrapText="1"/>
      <protection/>
    </xf>
    <xf numFmtId="174" fontId="2" fillId="3" borderId="1" xfId="0" applyNumberFormat="1" applyFont="1" applyFill="1" applyBorder="1" applyAlignment="1" applyProtection="1">
      <alignment horizontal="left" vertical="center" wrapText="1"/>
      <protection/>
    </xf>
    <xf numFmtId="10" fontId="2" fillId="0" borderId="1" xfId="31" applyNumberFormat="1" applyFont="1" applyFill="1" applyBorder="1" applyAlignment="1">
      <alignment horizontal="left" vertical="center"/>
      <protection/>
    </xf>
    <xf numFmtId="170" fontId="26" fillId="4" borderId="1" xfId="31" applyFont="1" applyFill="1" applyBorder="1" applyAlignment="1">
      <alignment horizontal="center" vertical="center"/>
      <protection/>
    </xf>
    <xf numFmtId="0" fontId="2" fillId="3" borderId="1" xfId="31" applyNumberFormat="1" applyFont="1" applyFill="1" applyBorder="1" applyAlignment="1">
      <alignment horizontal="left" vertical="center"/>
      <protection/>
    </xf>
    <xf numFmtId="170" fontId="16" fillId="4" borderId="33" xfId="31" applyFont="1" applyFill="1" applyBorder="1" applyAlignment="1">
      <alignment horizontal="center" vertical="center" wrapText="1"/>
      <protection/>
    </xf>
    <xf numFmtId="170" fontId="16" fillId="4" borderId="6" xfId="31" applyFont="1" applyFill="1" applyBorder="1" applyAlignment="1">
      <alignment horizontal="center" vertical="center" wrapText="1"/>
      <protection/>
    </xf>
    <xf numFmtId="170" fontId="16" fillId="4" borderId="7" xfId="31" applyFont="1" applyFill="1" applyBorder="1" applyAlignment="1">
      <alignment horizontal="center" vertical="center" wrapText="1"/>
      <protection/>
    </xf>
    <xf numFmtId="0" fontId="4" fillId="3" borderId="33" xfId="31" applyNumberFormat="1" applyFont="1" applyFill="1" applyBorder="1" applyAlignment="1">
      <alignment horizontal="left" vertical="center"/>
      <protection/>
    </xf>
    <xf numFmtId="40" fontId="13" fillId="0" borderId="0" xfId="0" applyNumberFormat="1" applyFont="1" applyFill="1" applyBorder="1" applyAlignment="1">
      <alignment horizontal="left"/>
    </xf>
    <xf numFmtId="40" fontId="4" fillId="0" borderId="0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Border="1" applyAlignment="1">
      <alignment horizontal="left" wrapText="1"/>
    </xf>
    <xf numFmtId="172" fontId="10" fillId="0" borderId="0" xfId="24" applyNumberFormat="1" applyFont="1" applyFill="1" applyBorder="1" applyAlignment="1">
      <alignment horizontal="center" vertical="center" wrapText="1"/>
      <protection/>
    </xf>
    <xf numFmtId="10" fontId="4" fillId="3" borderId="1" xfId="31" applyNumberFormat="1" applyFont="1" applyFill="1" applyBorder="1" applyAlignment="1">
      <alignment horizontal="left" vertical="center"/>
      <protection/>
    </xf>
    <xf numFmtId="174" fontId="4" fillId="5" borderId="1" xfId="0" applyNumberFormat="1" applyFont="1" applyFill="1" applyBorder="1" applyAlignment="1" applyProtection="1">
      <alignment horizontal="left" vertical="center" wrapText="1"/>
      <protection/>
    </xf>
    <xf numFmtId="176" fontId="4" fillId="3" borderId="1" xfId="31" applyNumberFormat="1" applyFont="1" applyFill="1" applyBorder="1" applyAlignment="1">
      <alignment vertical="center" wrapText="1"/>
      <protection/>
    </xf>
    <xf numFmtId="170" fontId="16" fillId="4" borderId="1" xfId="31" applyFont="1" applyFill="1" applyBorder="1" applyAlignment="1">
      <alignment horizontal="center" vertical="center" wrapText="1"/>
      <protection/>
    </xf>
    <xf numFmtId="170" fontId="4" fillId="5" borderId="1" xfId="31" applyFont="1" applyFill="1" applyBorder="1" applyAlignment="1">
      <alignment vertical="center"/>
      <protection/>
    </xf>
    <xf numFmtId="0" fontId="4" fillId="3" borderId="1" xfId="31" applyNumberFormat="1" applyFont="1" applyFill="1" applyBorder="1" applyAlignment="1">
      <alignment vertical="center"/>
      <protection/>
    </xf>
    <xf numFmtId="170" fontId="4" fillId="3" borderId="1" xfId="31" applyFont="1" applyFill="1" applyBorder="1" applyAlignment="1">
      <alignment vertical="center"/>
      <protection/>
    </xf>
    <xf numFmtId="170" fontId="4" fillId="5" borderId="1" xfId="31" applyFont="1" applyFill="1" applyBorder="1" applyAlignment="1">
      <alignment vertical="center" wrapText="1"/>
      <protection/>
    </xf>
    <xf numFmtId="170" fontId="4" fillId="0" borderId="1" xfId="0" applyFont="1" applyBorder="1" applyAlignment="1">
      <alignment vertical="center" wrapText="1"/>
    </xf>
    <xf numFmtId="170" fontId="0" fillId="0" borderId="0" xfId="0" applyFont="1" applyFill="1" applyAlignment="1">
      <alignment horizontal="center"/>
    </xf>
    <xf numFmtId="0" fontId="4" fillId="3" borderId="1" xfId="31" applyNumberFormat="1" applyFont="1" applyFill="1" applyBorder="1" applyAlignment="1">
      <alignment vertical="center" wrapText="1"/>
      <protection/>
    </xf>
    <xf numFmtId="174" fontId="4" fillId="3" borderId="1" xfId="0" applyNumberFormat="1" applyFont="1" applyFill="1" applyBorder="1" applyAlignment="1" applyProtection="1">
      <alignment vertical="center" wrapText="1"/>
      <protection/>
    </xf>
    <xf numFmtId="170" fontId="4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170" fontId="0" fillId="0" borderId="33" xfId="0" applyFont="1" applyBorder="1" applyAlignment="1">
      <alignment horizontal="center"/>
    </xf>
    <xf numFmtId="170" fontId="0" fillId="0" borderId="7" xfId="0" applyFont="1" applyBorder="1" applyAlignment="1">
      <alignment horizontal="center"/>
    </xf>
    <xf numFmtId="174" fontId="4" fillId="3" borderId="33" xfId="0" applyNumberFormat="1" applyFont="1" applyFill="1" applyBorder="1" applyAlignment="1" applyProtection="1">
      <alignment horizontal="left" vertical="center" wrapText="1"/>
      <protection/>
    </xf>
    <xf numFmtId="174" fontId="4" fillId="3" borderId="6" xfId="0" applyNumberFormat="1" applyFont="1" applyFill="1" applyBorder="1" applyAlignment="1" applyProtection="1">
      <alignment horizontal="left" vertical="center" wrapText="1"/>
      <protection/>
    </xf>
    <xf numFmtId="174" fontId="4" fillId="3" borderId="7" xfId="0" applyNumberFormat="1" applyFont="1" applyFill="1" applyBorder="1" applyAlignment="1" applyProtection="1">
      <alignment horizontal="left" vertical="center" wrapText="1"/>
      <protection/>
    </xf>
    <xf numFmtId="2" fontId="0" fillId="0" borderId="29" xfId="0" applyNumberFormat="1" applyBorder="1" applyAlignment="1">
      <alignment horizontal="center"/>
    </xf>
    <xf numFmtId="170" fontId="4" fillId="0" borderId="0" xfId="0" applyFont="1" applyFill="1" applyAlignment="1">
      <alignment horizontal="left" wrapText="1"/>
    </xf>
    <xf numFmtId="170" fontId="4" fillId="0" borderId="0" xfId="0" applyFont="1" applyAlignment="1">
      <alignment horizontal="left" wrapText="1"/>
    </xf>
    <xf numFmtId="40" fontId="4" fillId="0" borderId="0" xfId="55" applyNumberFormat="1" applyFont="1" applyFill="1" applyBorder="1" applyAlignment="1">
      <alignment horizontal="left" vertical="center" wrapText="1"/>
      <protection/>
    </xf>
    <xf numFmtId="40" fontId="4" fillId="0" borderId="0" xfId="55" applyNumberFormat="1" applyFont="1" applyFill="1" applyBorder="1" applyAlignment="1">
      <alignment horizontal="left" vertical="top" wrapText="1"/>
      <protection/>
    </xf>
    <xf numFmtId="0" fontId="4" fillId="0" borderId="0" xfId="55" applyNumberFormat="1" applyFont="1" applyFill="1" applyBorder="1" applyAlignment="1">
      <alignment horizontal="left" vertical="center" wrapText="1"/>
      <protection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40" fontId="4" fillId="0" borderId="0" xfId="55" applyNumberFormat="1" applyFont="1" applyFill="1" applyBorder="1" applyAlignment="1">
      <alignment vertical="center" wrapText="1"/>
      <protection/>
    </xf>
    <xf numFmtId="2" fontId="0" fillId="0" borderId="1" xfId="0" applyNumberFormat="1" applyBorder="1" applyAlignment="1">
      <alignment horizontal="center"/>
    </xf>
    <xf numFmtId="170" fontId="14" fillId="4" borderId="109" xfId="31" applyFont="1" applyFill="1" applyBorder="1" applyAlignment="1">
      <alignment horizontal="center" vertical="center" wrapText="1"/>
      <protection/>
    </xf>
    <xf numFmtId="170" fontId="14" fillId="4" borderId="110" xfId="31" applyFont="1" applyFill="1" applyBorder="1" applyAlignment="1">
      <alignment horizontal="center" vertical="center" wrapText="1"/>
      <protection/>
    </xf>
    <xf numFmtId="170" fontId="14" fillId="4" borderId="111" xfId="31" applyFont="1" applyFill="1" applyBorder="1" applyAlignment="1">
      <alignment horizontal="center" vertical="center" wrapText="1"/>
      <protection/>
    </xf>
    <xf numFmtId="170" fontId="4" fillId="3" borderId="33" xfId="31" applyFont="1" applyFill="1" applyBorder="1" applyAlignment="1">
      <alignment horizontal="left" vertical="center"/>
      <protection/>
    </xf>
    <xf numFmtId="170" fontId="4" fillId="3" borderId="6" xfId="31" applyFont="1" applyFill="1" applyBorder="1" applyAlignment="1">
      <alignment horizontal="left" vertical="center"/>
      <protection/>
    </xf>
    <xf numFmtId="170" fontId="4" fillId="3" borderId="7" xfId="31" applyFont="1" applyFill="1" applyBorder="1" applyAlignment="1">
      <alignment horizontal="left" vertical="center"/>
      <protection/>
    </xf>
    <xf numFmtId="170" fontId="4" fillId="0" borderId="33" xfId="0" applyFont="1" applyBorder="1" applyAlignment="1">
      <alignment horizontal="left" vertical="center" wrapText="1"/>
    </xf>
    <xf numFmtId="170" fontId="4" fillId="0" borderId="6" xfId="0" applyFont="1" applyBorder="1" applyAlignment="1">
      <alignment horizontal="left" vertical="center" wrapText="1"/>
    </xf>
    <xf numFmtId="170" fontId="4" fillId="0" borderId="7" xfId="0" applyFont="1" applyBorder="1" applyAlignment="1">
      <alignment horizontal="left" vertical="center" wrapText="1"/>
    </xf>
    <xf numFmtId="176" fontId="4" fillId="3" borderId="33" xfId="31" applyNumberFormat="1" applyFont="1" applyFill="1" applyBorder="1" applyAlignment="1">
      <alignment horizontal="left" vertical="center" wrapText="1"/>
      <protection/>
    </xf>
    <xf numFmtId="176" fontId="4" fillId="3" borderId="6" xfId="31" applyNumberFormat="1" applyFont="1" applyFill="1" applyBorder="1" applyAlignment="1">
      <alignment horizontal="left" vertical="center" wrapText="1"/>
      <protection/>
    </xf>
    <xf numFmtId="176" fontId="4" fillId="3" borderId="7" xfId="31" applyNumberFormat="1" applyFont="1" applyFill="1" applyBorder="1" applyAlignment="1">
      <alignment horizontal="left" vertical="center" wrapText="1"/>
      <protection/>
    </xf>
    <xf numFmtId="0" fontId="4" fillId="3" borderId="29" xfId="31" applyNumberFormat="1" applyFont="1" applyFill="1" applyBorder="1" applyAlignment="1">
      <alignment vertical="center"/>
      <protection/>
    </xf>
    <xf numFmtId="170" fontId="4" fillId="0" borderId="0" xfId="0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vertical="center" wrapText="1"/>
    </xf>
    <xf numFmtId="170" fontId="4" fillId="0" borderId="0" xfId="0" applyFont="1" applyFill="1" applyAlignment="1">
      <alignment horizontal="left" vertical="center" wrapText="1"/>
    </xf>
    <xf numFmtId="40" fontId="4" fillId="0" borderId="0" xfId="55" applyNumberFormat="1" applyFont="1" applyFill="1" applyAlignment="1">
      <alignment horizontal="left" vertical="top" wrapText="1"/>
      <protection/>
    </xf>
    <xf numFmtId="2" fontId="4" fillId="0" borderId="0" xfId="55" applyNumberFormat="1" applyFont="1" applyFill="1" applyBorder="1" applyAlignment="1">
      <alignment horizontal="left" vertical="center" wrapText="1"/>
      <protection/>
    </xf>
    <xf numFmtId="40" fontId="0" fillId="0" borderId="0" xfId="0" applyNumberFormat="1" applyFont="1" applyFill="1" applyAlignment="1">
      <alignment horizontal="left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5" xfId="22"/>
    <cellStyle name="Moeda 2" xfId="23"/>
    <cellStyle name="Normal 2" xfId="24"/>
    <cellStyle name="Normal 3" xfId="25"/>
    <cellStyle name="Normal 4" xfId="26"/>
    <cellStyle name="Porcentagem 2" xfId="27"/>
    <cellStyle name="Porcentagem 3" xfId="28"/>
    <cellStyle name="Separador de milhares 3" xfId="29"/>
    <cellStyle name="Vírgula 2" xfId="30"/>
    <cellStyle name="Normal 17" xfId="31"/>
    <cellStyle name="Normal 2 22" xfId="32"/>
    <cellStyle name="Moeda" xfId="33"/>
    <cellStyle name="Normal 9" xfId="34"/>
    <cellStyle name="Moeda 3" xfId="35"/>
    <cellStyle name="Normal 17 2" xfId="36"/>
    <cellStyle name="Normal 2 3" xfId="37"/>
    <cellStyle name="Normal 2 2" xfId="38"/>
    <cellStyle name="Normal 2_Projeto Padrão - Outubro 2011" xfId="39"/>
    <cellStyle name="Normal 3 2" xfId="40"/>
    <cellStyle name="Normal 4 2" xfId="41"/>
    <cellStyle name="Normal 5 2" xfId="42"/>
    <cellStyle name="Normal 6" xfId="43"/>
    <cellStyle name="Normal 7" xfId="44"/>
    <cellStyle name="Normal 8" xfId="45"/>
    <cellStyle name="Porcentagem 3 2" xfId="46"/>
    <cellStyle name="Porcentagem 4" xfId="47"/>
    <cellStyle name="Porcentagem 5" xfId="48"/>
    <cellStyle name="Separador de milhares 2" xfId="49"/>
    <cellStyle name="Vírgula 5" xfId="50"/>
    <cellStyle name="Vírgula 2 2" xfId="51"/>
    <cellStyle name="Vírgula 3" xfId="52"/>
    <cellStyle name="Vírgula 4" xfId="53"/>
    <cellStyle name="Normal_Pesquisa no referencial 10 de maio de 2013" xfId="54"/>
    <cellStyle name="Normal 17 3" xfId="55"/>
    <cellStyle name="Normal 12" xfId="56"/>
    <cellStyle name="Normal 13" xfId="57"/>
    <cellStyle name="Normal 5 3" xfId="58"/>
    <cellStyle name="Normal 2 2 2" xfId="59"/>
    <cellStyle name="Normal 10" xfId="60"/>
    <cellStyle name="Moeda 4" xfId="61"/>
    <cellStyle name="Normal 2 4" xfId="62"/>
    <cellStyle name="Normal 11" xfId="63"/>
    <cellStyle name="Normal 2 2 3" xfId="64"/>
    <cellStyle name="Normal 10 4" xfId="65"/>
  </cellStyles>
  <dxfs count="186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theme="1"/>
      </font>
      <fill>
        <patternFill patternType="solid">
          <bgColor rgb="FFE8E8E8"/>
        </patternFill>
      </fill>
      <border/>
    </dxf>
    <dxf>
      <font>
        <color theme="1"/>
      </font>
      <fill>
        <patternFill patternType="solid">
          <bgColor theme="0" tint="-0.14986999332904816"/>
        </patternFill>
      </fill>
      <border/>
    </dxf>
    <dxf>
      <font>
        <color theme="1"/>
      </font>
      <fill>
        <patternFill patternType="solid">
          <bgColor theme="0" tint="-0.24993999302387238"/>
        </patternFill>
      </fill>
      <border/>
    </dxf>
    <dxf>
      <font>
        <b/>
        <i val="0"/>
        <color theme="0"/>
      </font>
      <fill>
        <patternFill patternType="solid">
          <bgColor theme="8" tint="-0.4999699890613556"/>
        </patternFill>
      </fill>
      <border/>
    </dxf>
    <dxf>
      <font>
        <color indexed="9"/>
        <condense val="0"/>
        <extend val="0"/>
      </font>
      <border/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24</xdr:row>
      <xdr:rowOff>47625</xdr:rowOff>
    </xdr:from>
    <xdr:to>
      <xdr:col>6</xdr:col>
      <xdr:colOff>47625</xdr:colOff>
      <xdr:row>25</xdr:row>
      <xdr:rowOff>19050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2075" y="5838825"/>
          <a:ext cx="3848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119</xdr:row>
      <xdr:rowOff>85725</xdr:rowOff>
    </xdr:from>
    <xdr:to>
      <xdr:col>2</xdr:col>
      <xdr:colOff>1809750</xdr:colOff>
      <xdr:row>122</xdr:row>
      <xdr:rowOff>104775</xdr:rowOff>
    </xdr:to>
    <xdr:sp macro="" textlink="">
      <xdr:nvSpPr>
        <xdr:cNvPr id="8" name="Caixa de Texto 2"/>
        <xdr:cNvSpPr txBox="1">
          <a:spLocks noChangeArrowheads="1"/>
        </xdr:cNvSpPr>
      </xdr:nvSpPr>
      <xdr:spPr bwMode="auto">
        <a:xfrm>
          <a:off x="447675" y="24022050"/>
          <a:ext cx="26384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BDI = </a:t>
          </a:r>
          <a:r>
            <a:rPr lang="pt-BR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(1+AC+S+R+G)(1+DF)(1+L</a:t>
          </a:r>
          <a:r>
            <a:rPr lang="pt-B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 - 1</a:t>
          </a:r>
        </a:p>
        <a:p>
          <a:pPr algn="l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(1-I)</a:t>
          </a: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790575</xdr:colOff>
      <xdr:row>99</xdr:row>
      <xdr:rowOff>9525</xdr:rowOff>
    </xdr:from>
    <xdr:to>
      <xdr:col>5</xdr:col>
      <xdr:colOff>190500</xdr:colOff>
      <xdr:row>99</xdr:row>
      <xdr:rowOff>419100</xdr:rowOff>
    </xdr:to>
    <xdr:pic>
      <xdr:nvPicPr>
        <xdr:cNvPr id="9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66925" y="20288250"/>
          <a:ext cx="2676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</xdr:row>
      <xdr:rowOff>133350</xdr:rowOff>
    </xdr:from>
    <xdr:to>
      <xdr:col>7</xdr:col>
      <xdr:colOff>76200</xdr:colOff>
      <xdr:row>52</xdr:row>
      <xdr:rowOff>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401050"/>
          <a:ext cx="5238750" cy="3305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600075</xdr:colOff>
      <xdr:row>52</xdr:row>
      <xdr:rowOff>57150</xdr:rowOff>
    </xdr:from>
    <xdr:to>
      <xdr:col>7</xdr:col>
      <xdr:colOff>85725</xdr:colOff>
      <xdr:row>64</xdr:row>
      <xdr:rowOff>152400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11763375"/>
          <a:ext cx="5257800" cy="2266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257175</xdr:colOff>
      <xdr:row>84</xdr:row>
      <xdr:rowOff>57150</xdr:rowOff>
    </xdr:from>
    <xdr:to>
      <xdr:col>16</xdr:col>
      <xdr:colOff>247650</xdr:colOff>
      <xdr:row>92</xdr:row>
      <xdr:rowOff>114300</xdr:rowOff>
    </xdr:to>
    <xdr:pic>
      <xdr:nvPicPr>
        <xdr:cNvPr id="10" name="Imagem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17564100"/>
          <a:ext cx="4257675" cy="1495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514350</xdr:colOff>
      <xdr:row>0</xdr:row>
      <xdr:rowOff>1028700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2667000" cy="981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1</xdr:col>
      <xdr:colOff>857250</xdr:colOff>
      <xdr:row>0</xdr:row>
      <xdr:rowOff>704850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59067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238125</xdr:rowOff>
    </xdr:from>
    <xdr:to>
      <xdr:col>1</xdr:col>
      <xdr:colOff>1285875</xdr:colOff>
      <xdr:row>0</xdr:row>
      <xdr:rowOff>1181100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2581275" cy="942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523875</xdr:colOff>
      <xdr:row>11</xdr:row>
      <xdr:rowOff>123825</xdr:rowOff>
    </xdr:from>
    <xdr:to>
      <xdr:col>23</xdr:col>
      <xdr:colOff>571500</xdr:colOff>
      <xdr:row>21</xdr:row>
      <xdr:rowOff>476250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64100" y="3533775"/>
          <a:ext cx="8258175" cy="2447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2</xdr:col>
      <xdr:colOff>47625</xdr:colOff>
      <xdr:row>0</xdr:row>
      <xdr:rowOff>962025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2257425" cy="828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438150</xdr:colOff>
      <xdr:row>39</xdr:row>
      <xdr:rowOff>0</xdr:rowOff>
    </xdr:from>
    <xdr:to>
      <xdr:col>5</xdr:col>
      <xdr:colOff>514350</xdr:colOff>
      <xdr:row>40</xdr:row>
      <xdr:rowOff>9525</xdr:rowOff>
    </xdr:to>
    <xdr:sp macro="" textlink="">
      <xdr:nvSpPr>
        <xdr:cNvPr id="3" name="Retângulo 2"/>
        <xdr:cNvSpPr/>
      </xdr:nvSpPr>
      <xdr:spPr>
        <a:xfrm>
          <a:off x="4343400" y="8181975"/>
          <a:ext cx="714375" cy="200025"/>
        </a:xfrm>
        <a:prstGeom prst="rect">
          <a:avLst/>
        </a:prstGeom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4</xdr:col>
      <xdr:colOff>123825</xdr:colOff>
      <xdr:row>26</xdr:row>
      <xdr:rowOff>9525</xdr:rowOff>
    </xdr:from>
    <xdr:to>
      <xdr:col>12</xdr:col>
      <xdr:colOff>476250</xdr:colOff>
      <xdr:row>43</xdr:row>
      <xdr:rowOff>0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30" r="1260"/>
        <a:stretch>
          <a:fillRect/>
        </a:stretch>
      </xdr:blipFill>
      <xdr:spPr bwMode="auto">
        <a:xfrm>
          <a:off x="4029075" y="5715000"/>
          <a:ext cx="542925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1</xdr:col>
      <xdr:colOff>981075</xdr:colOff>
      <xdr:row>0</xdr:row>
      <xdr:rowOff>866775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188595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276225</xdr:rowOff>
    </xdr:from>
    <xdr:to>
      <xdr:col>2</xdr:col>
      <xdr:colOff>276225</xdr:colOff>
      <xdr:row>0</xdr:row>
      <xdr:rowOff>1028700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205740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161925</xdr:rowOff>
    </xdr:from>
    <xdr:to>
      <xdr:col>2</xdr:col>
      <xdr:colOff>561975</xdr:colOff>
      <xdr:row>0</xdr:row>
      <xdr:rowOff>990600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2286000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J126"/>
  <sheetViews>
    <sheetView view="pageBreakPreview" zoomScaleSheetLayoutView="100" zoomScalePageLayoutView="40" workbookViewId="0" topLeftCell="C7">
      <selection activeCell="K31" sqref="K31"/>
    </sheetView>
  </sheetViews>
  <sheetFormatPr defaultColWidth="9.140625" defaultRowHeight="12.75"/>
  <cols>
    <col min="2" max="2" width="10.00390625" style="0" customWidth="1"/>
    <col min="3" max="3" width="29.7109375" style="0" bestFit="1" customWidth="1"/>
    <col min="4" max="4" width="10.28125" style="0" customWidth="1"/>
  </cols>
  <sheetData>
    <row r="1" spans="1:10" s="2" customFormat="1" ht="66" customHeight="1">
      <c r="A1" s="898"/>
      <c r="B1" s="899"/>
      <c r="C1" s="899" t="s">
        <v>133</v>
      </c>
      <c r="D1" s="899"/>
      <c r="E1" s="899"/>
      <c r="F1" s="899"/>
      <c r="G1" s="899"/>
      <c r="H1" s="899"/>
      <c r="I1" s="900"/>
      <c r="J1" s="9"/>
    </row>
    <row r="2" spans="1:10" s="28" customFormat="1" ht="15">
      <c r="A2" s="894" t="s">
        <v>57</v>
      </c>
      <c r="B2" s="895"/>
      <c r="C2" s="807" t="str">
        <f>'ORÇAMENTO NÃO DESONERADO'!B2</f>
        <v>PREFEITURA MUNICIPAL DE OURÉM</v>
      </c>
      <c r="D2" s="807"/>
      <c r="E2" s="901" t="s">
        <v>95</v>
      </c>
      <c r="F2" s="901"/>
      <c r="G2" s="902" t="s">
        <v>172</v>
      </c>
      <c r="H2" s="902"/>
      <c r="I2" s="903"/>
      <c r="J2" s="10"/>
    </row>
    <row r="3" spans="1:10" s="28" customFormat="1" ht="30" customHeight="1">
      <c r="A3" s="894" t="s">
        <v>58</v>
      </c>
      <c r="B3" s="895"/>
      <c r="C3" s="896" t="str">
        <f>'ORÇAMENTO NÃO DESONERADO'!B3</f>
        <v>CONSTRUÇÃO DE TERMINAL RODOVIÁRIO ETAPA-02</v>
      </c>
      <c r="D3" s="896"/>
      <c r="E3" s="896"/>
      <c r="F3" s="896"/>
      <c r="G3" s="896"/>
      <c r="H3" s="896"/>
      <c r="I3" s="897"/>
      <c r="J3" s="11"/>
    </row>
    <row r="4" spans="1:10" s="28" customFormat="1" ht="32.25" customHeight="1">
      <c r="A4" s="879" t="s">
        <v>59</v>
      </c>
      <c r="B4" s="880"/>
      <c r="C4" s="881" t="str">
        <f>'ORÇAMENTO NÃO DESONERADO'!B4</f>
        <v>RUA JOAQUIM DIONISIO COM RUA PERSEVERANDO S/N. PRAÇA DO TERMINAL OURÉM/PA</v>
      </c>
      <c r="D4" s="881"/>
      <c r="E4" s="882"/>
      <c r="F4" s="882"/>
      <c r="G4" s="882"/>
      <c r="H4" s="882"/>
      <c r="I4" s="883"/>
      <c r="J4" s="11"/>
    </row>
    <row r="5" spans="1:10" s="28" customFormat="1" ht="30.75" customHeight="1">
      <c r="A5" s="829" t="s">
        <v>60</v>
      </c>
      <c r="B5" s="359"/>
      <c r="C5" s="327">
        <f>I25</f>
        <v>0.25</v>
      </c>
      <c r="D5" s="349"/>
      <c r="E5" s="884" t="s">
        <v>36</v>
      </c>
      <c r="F5" s="885"/>
      <c r="G5" s="886" t="str">
        <f>'ORÇAMENTO NÃO DESONERADO'!F6</f>
        <v>SINAPI - JULHO DE 2020</v>
      </c>
      <c r="H5" s="886"/>
      <c r="I5" s="887"/>
      <c r="J5" s="8"/>
    </row>
    <row r="6" spans="1:10" s="28" customFormat="1" ht="15" customHeight="1">
      <c r="A6" s="888" t="s">
        <v>96</v>
      </c>
      <c r="B6" s="889"/>
      <c r="C6" s="360" t="str">
        <f>'ORÇAMENTO NÃO DESONERADO'!$B$6</f>
        <v xml:space="preserve"> MARUZA BAPTISTA </v>
      </c>
      <c r="D6" s="361"/>
      <c r="E6" s="892" t="s">
        <v>98</v>
      </c>
      <c r="F6" s="893"/>
      <c r="G6" s="364" t="s">
        <v>99</v>
      </c>
      <c r="H6" s="365"/>
      <c r="I6" s="830"/>
      <c r="J6" s="12"/>
    </row>
    <row r="7" spans="1:10" s="28" customFormat="1" ht="15">
      <c r="A7" s="890"/>
      <c r="B7" s="891"/>
      <c r="C7" s="362"/>
      <c r="D7" s="363"/>
      <c r="E7" s="892"/>
      <c r="F7" s="893"/>
      <c r="G7" s="366"/>
      <c r="H7" s="367"/>
      <c r="I7" s="831"/>
      <c r="J7" s="12"/>
    </row>
    <row r="8" spans="1:9" s="24" customFormat="1" ht="15" thickBot="1">
      <c r="A8" s="106"/>
      <c r="B8" s="19"/>
      <c r="C8" s="19"/>
      <c r="D8" s="19"/>
      <c r="E8" s="19"/>
      <c r="F8" s="19"/>
      <c r="G8" s="19"/>
      <c r="H8" s="19"/>
      <c r="I8" s="107"/>
    </row>
    <row r="9" spans="1:9" s="24" customFormat="1" ht="15.75" thickBot="1">
      <c r="A9" s="867" t="s">
        <v>213</v>
      </c>
      <c r="B9" s="868"/>
      <c r="C9" s="868"/>
      <c r="D9" s="868"/>
      <c r="E9" s="868"/>
      <c r="F9" s="868"/>
      <c r="G9" s="868"/>
      <c r="H9" s="868"/>
      <c r="I9" s="869"/>
    </row>
    <row r="10" spans="1:9" s="24" customFormat="1" ht="15.75" thickBot="1">
      <c r="A10" s="96" t="s">
        <v>6</v>
      </c>
      <c r="B10" s="97" t="s">
        <v>37</v>
      </c>
      <c r="C10" s="14"/>
      <c r="D10" s="14"/>
      <c r="E10" s="14"/>
      <c r="F10" s="14"/>
      <c r="G10" s="14"/>
      <c r="H10" s="14"/>
      <c r="I10" s="108"/>
    </row>
    <row r="11" spans="1:9" s="24" customFormat="1" ht="14.25">
      <c r="A11" s="109">
        <v>1</v>
      </c>
      <c r="B11" s="110" t="s">
        <v>38</v>
      </c>
      <c r="C11" s="111"/>
      <c r="D11" s="111"/>
      <c r="E11" s="111"/>
      <c r="F11" s="111"/>
      <c r="G11" s="111"/>
      <c r="H11" s="112"/>
      <c r="I11" s="113">
        <v>0.04</v>
      </c>
    </row>
    <row r="12" spans="1:9" s="24" customFormat="1" ht="14.25">
      <c r="A12" s="114">
        <v>2</v>
      </c>
      <c r="B12" s="115" t="s">
        <v>39</v>
      </c>
      <c r="C12" s="14"/>
      <c r="D12" s="14"/>
      <c r="E12" s="14"/>
      <c r="F12" s="14"/>
      <c r="G12" s="14"/>
      <c r="H12" s="14"/>
      <c r="I12" s="116">
        <v>0.008</v>
      </c>
    </row>
    <row r="13" spans="1:9" s="24" customFormat="1" ht="14.25">
      <c r="A13" s="114">
        <v>3</v>
      </c>
      <c r="B13" s="115" t="s">
        <v>40</v>
      </c>
      <c r="C13" s="14"/>
      <c r="D13" s="14"/>
      <c r="E13" s="14"/>
      <c r="F13" s="14"/>
      <c r="G13" s="14"/>
      <c r="H13" s="117"/>
      <c r="I13" s="118">
        <v>0.0127</v>
      </c>
    </row>
    <row r="14" spans="1:10" s="24" customFormat="1" ht="14.25">
      <c r="A14" s="114">
        <v>4</v>
      </c>
      <c r="B14" s="115" t="s">
        <v>41</v>
      </c>
      <c r="C14" s="14"/>
      <c r="D14" s="14"/>
      <c r="E14" s="14"/>
      <c r="F14" s="14"/>
      <c r="G14" s="14"/>
      <c r="H14" s="117"/>
      <c r="I14" s="116">
        <v>0.0123</v>
      </c>
      <c r="J14" s="119"/>
    </row>
    <row r="15" spans="1:9" s="24" customFormat="1" ht="14.25">
      <c r="A15" s="114">
        <v>5</v>
      </c>
      <c r="B15" s="115" t="s">
        <v>42</v>
      </c>
      <c r="C15" s="14"/>
      <c r="D15" s="14"/>
      <c r="E15" s="14"/>
      <c r="F15" s="14"/>
      <c r="G15" s="14"/>
      <c r="H15" s="117"/>
      <c r="I15" s="116">
        <v>0.0634</v>
      </c>
    </row>
    <row r="16" spans="1:9" s="24" customFormat="1" ht="15" thickBot="1">
      <c r="A16" s="120">
        <v>6</v>
      </c>
      <c r="B16" s="121" t="s">
        <v>43</v>
      </c>
      <c r="C16" s="122"/>
      <c r="D16" s="122"/>
      <c r="E16" s="122"/>
      <c r="F16" s="122"/>
      <c r="G16" s="122"/>
      <c r="H16" s="123"/>
      <c r="I16" s="124">
        <f>I23</f>
        <v>0.0865</v>
      </c>
    </row>
    <row r="17" spans="1:9" s="24" customFormat="1" ht="14.25">
      <c r="A17" s="95"/>
      <c r="B17" s="14"/>
      <c r="C17" s="14"/>
      <c r="D17" s="14"/>
      <c r="E17" s="14"/>
      <c r="F17" s="14"/>
      <c r="G17" s="14"/>
      <c r="H17" s="14"/>
      <c r="I17" s="125"/>
    </row>
    <row r="18" spans="1:9" s="24" customFormat="1" ht="15.75" thickBot="1">
      <c r="A18" s="96" t="s">
        <v>6</v>
      </c>
      <c r="B18" s="97" t="s">
        <v>44</v>
      </c>
      <c r="C18" s="14"/>
      <c r="D18" s="14"/>
      <c r="E18" s="14"/>
      <c r="F18" s="14"/>
      <c r="G18" s="14"/>
      <c r="H18" s="14"/>
      <c r="I18" s="125"/>
    </row>
    <row r="19" spans="1:9" s="24" customFormat="1" ht="14.25">
      <c r="A19" s="126" t="s">
        <v>3</v>
      </c>
      <c r="B19" s="110" t="s">
        <v>45</v>
      </c>
      <c r="C19" s="111"/>
      <c r="D19" s="111"/>
      <c r="E19" s="111"/>
      <c r="F19" s="111"/>
      <c r="G19" s="111"/>
      <c r="H19" s="111"/>
      <c r="I19" s="113">
        <v>0.05</v>
      </c>
    </row>
    <row r="20" spans="1:9" s="24" customFormat="1" ht="14.25">
      <c r="A20" s="127" t="s">
        <v>4</v>
      </c>
      <c r="B20" s="115" t="s">
        <v>46</v>
      </c>
      <c r="C20" s="14"/>
      <c r="D20" s="14"/>
      <c r="E20" s="14"/>
      <c r="F20" s="14"/>
      <c r="G20" s="14"/>
      <c r="H20" s="14"/>
      <c r="I20" s="116">
        <v>0.0065</v>
      </c>
    </row>
    <row r="21" spans="1:9" s="24" customFormat="1" ht="14.25">
      <c r="A21" s="127" t="s">
        <v>5</v>
      </c>
      <c r="B21" s="115" t="s">
        <v>47</v>
      </c>
      <c r="C21" s="14"/>
      <c r="D21" s="14"/>
      <c r="E21" s="14"/>
      <c r="F21" s="14"/>
      <c r="G21" s="14"/>
      <c r="H21" s="14"/>
      <c r="I21" s="116">
        <v>0.03</v>
      </c>
    </row>
    <row r="22" spans="1:9" s="24" customFormat="1" ht="15" thickBot="1">
      <c r="A22" s="128" t="s">
        <v>48</v>
      </c>
      <c r="B22" s="121" t="s">
        <v>49</v>
      </c>
      <c r="C22" s="122"/>
      <c r="D22" s="122"/>
      <c r="E22" s="122"/>
      <c r="F22" s="122"/>
      <c r="G22" s="122"/>
      <c r="H22" s="122"/>
      <c r="I22" s="129">
        <v>0</v>
      </c>
    </row>
    <row r="23" spans="1:9" s="24" customFormat="1" ht="15.75" thickBot="1">
      <c r="A23" s="40"/>
      <c r="B23" s="14"/>
      <c r="C23" s="14"/>
      <c r="D23" s="14"/>
      <c r="E23" s="14"/>
      <c r="F23" s="14"/>
      <c r="G23" s="870" t="s">
        <v>50</v>
      </c>
      <c r="H23" s="870"/>
      <c r="I23" s="130">
        <f>SUM(I19:I22)</f>
        <v>0.0865</v>
      </c>
    </row>
    <row r="24" spans="1:9" s="24" customFormat="1" ht="15.75" thickBot="1">
      <c r="A24" s="864" t="s">
        <v>51</v>
      </c>
      <c r="B24" s="865"/>
      <c r="C24" s="865"/>
      <c r="D24" s="865"/>
      <c r="E24" s="865"/>
      <c r="F24" s="865"/>
      <c r="G24" s="865"/>
      <c r="H24" s="865"/>
      <c r="I24" s="866"/>
    </row>
    <row r="25" spans="1:9" s="24" customFormat="1" ht="37.5" customHeight="1" thickBot="1">
      <c r="A25" s="871"/>
      <c r="B25" s="872"/>
      <c r="C25" s="872"/>
      <c r="D25" s="872"/>
      <c r="E25" s="872"/>
      <c r="F25" s="872"/>
      <c r="G25" s="872"/>
      <c r="H25" s="873"/>
      <c r="I25" s="832">
        <f>ROUND((((1+I11+I12+I13)*(1+I14)*(1+I15))/(1-I16))-1,2)</f>
        <v>0.25</v>
      </c>
    </row>
    <row r="26" spans="1:9" s="24" customFormat="1" ht="15">
      <c r="A26" s="833"/>
      <c r="B26" s="834"/>
      <c r="C26" s="834"/>
      <c r="D26" s="834"/>
      <c r="E26" s="834"/>
      <c r="F26" s="834"/>
      <c r="G26" s="834"/>
      <c r="H26" s="834"/>
      <c r="I26" s="835"/>
    </row>
    <row r="27" spans="1:9" s="24" customFormat="1" ht="15">
      <c r="A27" s="836" t="s">
        <v>52</v>
      </c>
      <c r="B27" s="14"/>
      <c r="C27" s="14"/>
      <c r="D27" s="14"/>
      <c r="E27" s="14"/>
      <c r="F27" s="14"/>
      <c r="G27" s="14"/>
      <c r="H27" s="14"/>
      <c r="I27" s="837"/>
    </row>
    <row r="28" spans="1:9" s="24" customFormat="1" ht="27.75" customHeight="1">
      <c r="A28" s="874" t="s">
        <v>53</v>
      </c>
      <c r="B28" s="858"/>
      <c r="C28" s="858"/>
      <c r="D28" s="858"/>
      <c r="E28" s="858"/>
      <c r="F28" s="858"/>
      <c r="G28" s="858"/>
      <c r="H28" s="858"/>
      <c r="I28" s="875"/>
    </row>
    <row r="29" spans="1:9" s="24" customFormat="1" ht="27.75" customHeight="1">
      <c r="A29" s="874" t="s">
        <v>54</v>
      </c>
      <c r="B29" s="858"/>
      <c r="C29" s="858"/>
      <c r="D29" s="858"/>
      <c r="E29" s="858"/>
      <c r="F29" s="858"/>
      <c r="G29" s="858"/>
      <c r="H29" s="858"/>
      <c r="I29" s="875"/>
    </row>
    <row r="30" spans="1:9" s="24" customFormat="1" ht="15.75" customHeight="1">
      <c r="A30" s="876" t="s">
        <v>55</v>
      </c>
      <c r="B30" s="861"/>
      <c r="C30" s="861"/>
      <c r="D30" s="861"/>
      <c r="E30" s="861"/>
      <c r="F30" s="861"/>
      <c r="G30" s="861"/>
      <c r="H30" s="861"/>
      <c r="I30" s="877"/>
    </row>
    <row r="31" spans="1:9" s="24" customFormat="1" ht="27.75" customHeight="1">
      <c r="A31" s="874" t="s">
        <v>56</v>
      </c>
      <c r="B31" s="858"/>
      <c r="C31" s="858"/>
      <c r="D31" s="858"/>
      <c r="E31" s="858"/>
      <c r="F31" s="858"/>
      <c r="G31" s="858"/>
      <c r="H31" s="858"/>
      <c r="I31" s="875"/>
    </row>
    <row r="32" spans="1:9" s="24" customFormat="1" ht="14.25">
      <c r="A32" s="838"/>
      <c r="B32" s="839"/>
      <c r="C32" s="839"/>
      <c r="D32" s="839"/>
      <c r="E32" s="839"/>
      <c r="F32" s="839"/>
      <c r="G32" s="839"/>
      <c r="H32" s="839"/>
      <c r="I32" s="840"/>
    </row>
    <row r="33" spans="1:9" s="24" customFormat="1" ht="14.25">
      <c r="A33" s="878"/>
      <c r="B33" s="878"/>
      <c r="C33" s="878"/>
      <c r="D33" s="878"/>
      <c r="E33" s="878"/>
      <c r="F33" s="878"/>
      <c r="G33" s="878"/>
      <c r="H33" s="878"/>
      <c r="I33" s="878"/>
    </row>
    <row r="34" spans="1:9" s="24" customFormat="1" ht="14.25">
      <c r="A34" s="841"/>
      <c r="B34" s="841"/>
      <c r="C34" s="841"/>
      <c r="D34" s="841"/>
      <c r="E34" s="841"/>
      <c r="F34" s="841"/>
      <c r="G34" s="841"/>
      <c r="H34" s="841"/>
      <c r="I34" s="841"/>
    </row>
    <row r="35" spans="1:9" s="24" customFormat="1" ht="14.25">
      <c r="A35" s="841"/>
      <c r="B35" s="841"/>
      <c r="C35" s="841"/>
      <c r="D35" s="841"/>
      <c r="E35" s="841"/>
      <c r="F35" s="841"/>
      <c r="G35" s="841"/>
      <c r="H35" s="841"/>
      <c r="I35" s="841"/>
    </row>
    <row r="36" spans="1:9" s="24" customFormat="1" ht="14.25">
      <c r="A36" s="841"/>
      <c r="B36" s="841"/>
      <c r="C36" s="841"/>
      <c r="D36" s="841"/>
      <c r="E36" s="841"/>
      <c r="F36" s="841"/>
      <c r="G36" s="841"/>
      <c r="H36" s="841"/>
      <c r="I36" s="841"/>
    </row>
    <row r="37" spans="1:9" s="24" customFormat="1" ht="14.25">
      <c r="A37" s="841"/>
      <c r="B37" s="841"/>
      <c r="C37" s="841"/>
      <c r="D37" s="841"/>
      <c r="E37" s="841"/>
      <c r="F37" s="841"/>
      <c r="G37" s="841"/>
      <c r="H37" s="841"/>
      <c r="I37" s="841"/>
    </row>
    <row r="38" spans="1:9" s="24" customFormat="1" ht="14.25">
      <c r="A38" s="841"/>
      <c r="B38" s="841"/>
      <c r="C38" s="841"/>
      <c r="D38" s="841"/>
      <c r="E38" s="841"/>
      <c r="F38" s="841"/>
      <c r="G38" s="841"/>
      <c r="H38" s="841"/>
      <c r="I38" s="841"/>
    </row>
    <row r="39" spans="1:9" s="24" customFormat="1" ht="14.25">
      <c r="A39" s="841"/>
      <c r="B39" s="841"/>
      <c r="C39" s="841"/>
      <c r="D39" s="841"/>
      <c r="E39" s="841"/>
      <c r="F39" s="841"/>
      <c r="G39" s="841"/>
      <c r="H39" s="841"/>
      <c r="I39" s="841"/>
    </row>
    <row r="40" spans="1:9" s="24" customFormat="1" ht="14.25">
      <c r="A40" s="841"/>
      <c r="B40" s="841"/>
      <c r="C40" s="841"/>
      <c r="D40" s="841"/>
      <c r="E40" s="841"/>
      <c r="F40" s="841"/>
      <c r="G40" s="841"/>
      <c r="H40" s="841"/>
      <c r="I40" s="841"/>
    </row>
    <row r="41" spans="1:9" s="24" customFormat="1" ht="14.25">
      <c r="A41" s="841"/>
      <c r="B41" s="841"/>
      <c r="C41" s="841"/>
      <c r="D41" s="841"/>
      <c r="E41" s="841"/>
      <c r="F41" s="841"/>
      <c r="G41" s="841"/>
      <c r="H41" s="841"/>
      <c r="I41" s="841"/>
    </row>
    <row r="42" spans="1:9" s="24" customFormat="1" ht="14.25">
      <c r="A42" s="841"/>
      <c r="B42" s="841"/>
      <c r="C42" s="841"/>
      <c r="D42" s="841"/>
      <c r="E42" s="841"/>
      <c r="F42" s="841"/>
      <c r="G42" s="841"/>
      <c r="H42" s="841"/>
      <c r="I42" s="841"/>
    </row>
    <row r="43" spans="1:9" s="24" customFormat="1" ht="14.25">
      <c r="A43" s="841"/>
      <c r="B43" s="841"/>
      <c r="C43" s="841"/>
      <c r="D43" s="841"/>
      <c r="E43" s="841"/>
      <c r="F43" s="841"/>
      <c r="G43" s="841"/>
      <c r="H43" s="841"/>
      <c r="I43" s="841"/>
    </row>
    <row r="44" spans="1:9" s="24" customFormat="1" ht="14.25">
      <c r="A44" s="841"/>
      <c r="B44" s="841"/>
      <c r="C44" s="841"/>
      <c r="D44" s="841"/>
      <c r="E44" s="841"/>
      <c r="F44" s="841"/>
      <c r="G44" s="841"/>
      <c r="H44" s="841"/>
      <c r="I44" s="841"/>
    </row>
    <row r="45" spans="1:9" s="24" customFormat="1" ht="14.25">
      <c r="A45" s="841"/>
      <c r="B45" s="841"/>
      <c r="C45" s="841"/>
      <c r="D45" s="841"/>
      <c r="E45" s="841"/>
      <c r="F45" s="841"/>
      <c r="G45" s="841"/>
      <c r="H45" s="841"/>
      <c r="I45" s="841"/>
    </row>
    <row r="46" spans="1:9" s="24" customFormat="1" ht="14.25">
      <c r="A46" s="841"/>
      <c r="B46" s="841"/>
      <c r="C46" s="841"/>
      <c r="D46" s="841"/>
      <c r="E46" s="841"/>
      <c r="F46" s="841"/>
      <c r="G46" s="841"/>
      <c r="H46" s="841"/>
      <c r="I46" s="841"/>
    </row>
    <row r="47" spans="1:9" s="24" customFormat="1" ht="14.25">
      <c r="A47" s="841"/>
      <c r="B47" s="841"/>
      <c r="C47" s="841"/>
      <c r="D47" s="841"/>
      <c r="E47" s="841"/>
      <c r="F47" s="841"/>
      <c r="G47" s="841"/>
      <c r="H47" s="841"/>
      <c r="I47" s="841"/>
    </row>
    <row r="48" spans="1:9" s="24" customFormat="1" ht="14.25">
      <c r="A48" s="841"/>
      <c r="B48" s="841"/>
      <c r="C48" s="841"/>
      <c r="D48" s="841"/>
      <c r="E48" s="841"/>
      <c r="F48" s="841"/>
      <c r="G48" s="841"/>
      <c r="H48" s="841"/>
      <c r="I48" s="841"/>
    </row>
    <row r="49" spans="1:9" s="24" customFormat="1" ht="14.25">
      <c r="A49" s="841"/>
      <c r="B49" s="841"/>
      <c r="C49" s="841"/>
      <c r="D49" s="841"/>
      <c r="E49" s="841"/>
      <c r="F49" s="841"/>
      <c r="G49" s="841"/>
      <c r="H49" s="841"/>
      <c r="I49" s="841"/>
    </row>
    <row r="50" spans="1:9" s="24" customFormat="1" ht="14.25">
      <c r="A50" s="841"/>
      <c r="B50" s="841"/>
      <c r="C50" s="841"/>
      <c r="D50" s="841"/>
      <c r="E50" s="841"/>
      <c r="F50" s="841"/>
      <c r="G50" s="841"/>
      <c r="H50" s="841"/>
      <c r="I50" s="841"/>
    </row>
    <row r="51" spans="1:9" s="24" customFormat="1" ht="14.25">
      <c r="A51" s="841"/>
      <c r="B51" s="841"/>
      <c r="C51" s="841"/>
      <c r="D51" s="841"/>
      <c r="E51" s="841"/>
      <c r="F51" s="841"/>
      <c r="G51" s="841"/>
      <c r="H51" s="841"/>
      <c r="I51" s="841"/>
    </row>
    <row r="52" spans="1:9" s="24" customFormat="1" ht="14.25">
      <c r="A52" s="841"/>
      <c r="B52" s="841"/>
      <c r="C52" s="841"/>
      <c r="D52" s="841"/>
      <c r="E52" s="841"/>
      <c r="F52" s="841"/>
      <c r="G52" s="841"/>
      <c r="H52" s="841"/>
      <c r="I52" s="841"/>
    </row>
    <row r="53" spans="1:9" s="24" customFormat="1" ht="14.25">
      <c r="A53" s="841"/>
      <c r="B53" s="841"/>
      <c r="C53" s="841"/>
      <c r="D53" s="841"/>
      <c r="E53" s="841"/>
      <c r="F53" s="841"/>
      <c r="G53" s="841"/>
      <c r="H53" s="841"/>
      <c r="I53" s="841"/>
    </row>
    <row r="54" spans="1:9" s="24" customFormat="1" ht="14.25">
      <c r="A54" s="841"/>
      <c r="B54" s="841"/>
      <c r="C54" s="841"/>
      <c r="D54" s="841"/>
      <c r="E54" s="841"/>
      <c r="F54" s="841"/>
      <c r="G54" s="841"/>
      <c r="H54" s="841"/>
      <c r="I54" s="841"/>
    </row>
    <row r="55" spans="1:9" s="24" customFormat="1" ht="14.25">
      <c r="A55" s="841"/>
      <c r="B55" s="841"/>
      <c r="C55" s="841"/>
      <c r="D55" s="841"/>
      <c r="E55" s="841"/>
      <c r="F55" s="841"/>
      <c r="G55" s="841"/>
      <c r="H55" s="841"/>
      <c r="I55" s="841"/>
    </row>
    <row r="56" spans="1:9" s="24" customFormat="1" ht="14.25">
      <c r="A56" s="841"/>
      <c r="B56" s="841"/>
      <c r="C56" s="841"/>
      <c r="D56" s="841"/>
      <c r="E56" s="841"/>
      <c r="F56" s="841"/>
      <c r="G56" s="841"/>
      <c r="H56" s="841"/>
      <c r="I56" s="841"/>
    </row>
    <row r="57" spans="1:9" s="24" customFormat="1" ht="14.25">
      <c r="A57" s="841"/>
      <c r="B57" s="841"/>
      <c r="C57" s="841"/>
      <c r="D57" s="841"/>
      <c r="E57" s="841"/>
      <c r="F57" s="841"/>
      <c r="G57" s="841"/>
      <c r="H57" s="841"/>
      <c r="I57" s="841"/>
    </row>
    <row r="58" spans="1:9" s="24" customFormat="1" ht="14.25">
      <c r="A58" s="841"/>
      <c r="B58" s="841"/>
      <c r="C58" s="841"/>
      <c r="D58" s="841"/>
      <c r="E58" s="841"/>
      <c r="F58" s="841"/>
      <c r="G58" s="841"/>
      <c r="H58" s="841"/>
      <c r="I58" s="841"/>
    </row>
    <row r="59" spans="1:9" s="24" customFormat="1" ht="14.25">
      <c r="A59" s="841"/>
      <c r="B59" s="841"/>
      <c r="C59" s="841"/>
      <c r="D59" s="841"/>
      <c r="E59" s="841"/>
      <c r="F59" s="841"/>
      <c r="G59" s="841"/>
      <c r="H59" s="841"/>
      <c r="I59" s="841"/>
    </row>
    <row r="60" spans="1:9" s="24" customFormat="1" ht="14.25">
      <c r="A60" s="841"/>
      <c r="B60" s="841"/>
      <c r="C60" s="841"/>
      <c r="D60" s="841"/>
      <c r="E60" s="841"/>
      <c r="F60" s="841"/>
      <c r="G60" s="841"/>
      <c r="H60" s="841"/>
      <c r="I60" s="841"/>
    </row>
    <row r="61" spans="1:9" s="24" customFormat="1" ht="14.25">
      <c r="A61" s="841"/>
      <c r="B61" s="841"/>
      <c r="C61" s="841"/>
      <c r="D61" s="841"/>
      <c r="E61" s="841"/>
      <c r="F61" s="841"/>
      <c r="G61" s="841"/>
      <c r="H61" s="841"/>
      <c r="I61" s="841"/>
    </row>
    <row r="62" spans="1:9" s="24" customFormat="1" ht="14.25">
      <c r="A62" s="841"/>
      <c r="B62" s="841"/>
      <c r="C62" s="841"/>
      <c r="D62" s="841"/>
      <c r="E62" s="841"/>
      <c r="F62" s="841"/>
      <c r="G62" s="841"/>
      <c r="H62" s="841"/>
      <c r="I62" s="841"/>
    </row>
    <row r="63" spans="1:9" s="24" customFormat="1" ht="14.25">
      <c r="A63" s="841"/>
      <c r="B63" s="841"/>
      <c r="C63" s="841"/>
      <c r="D63" s="841"/>
      <c r="E63" s="841"/>
      <c r="F63" s="841"/>
      <c r="G63" s="841"/>
      <c r="H63" s="841"/>
      <c r="I63" s="841"/>
    </row>
    <row r="64" spans="1:9" s="24" customFormat="1" ht="14.25">
      <c r="A64" s="841"/>
      <c r="B64" s="841"/>
      <c r="C64" s="841"/>
      <c r="D64" s="841"/>
      <c r="E64" s="841"/>
      <c r="F64" s="841"/>
      <c r="G64" s="841"/>
      <c r="H64" s="841"/>
      <c r="I64" s="841"/>
    </row>
    <row r="65" spans="1:9" s="24" customFormat="1" ht="14.25">
      <c r="A65" s="841"/>
      <c r="B65" s="841"/>
      <c r="C65" s="841"/>
      <c r="D65" s="841"/>
      <c r="E65" s="841"/>
      <c r="F65" s="841"/>
      <c r="G65" s="841"/>
      <c r="H65" s="841"/>
      <c r="I65" s="841"/>
    </row>
    <row r="66" spans="1:9" s="24" customFormat="1" ht="14.25">
      <c r="A66" s="841"/>
      <c r="B66" s="841"/>
      <c r="C66" s="841"/>
      <c r="D66" s="841"/>
      <c r="E66" s="841"/>
      <c r="F66" s="841"/>
      <c r="G66" s="841"/>
      <c r="H66" s="841"/>
      <c r="I66" s="841"/>
    </row>
    <row r="67" spans="1:9" s="24" customFormat="1" ht="14.25">
      <c r="A67" s="841"/>
      <c r="B67" s="841"/>
      <c r="C67" s="841"/>
      <c r="D67" s="841"/>
      <c r="E67" s="841"/>
      <c r="F67" s="841"/>
      <c r="G67" s="841"/>
      <c r="H67" s="841"/>
      <c r="I67" s="841"/>
    </row>
    <row r="68" spans="1:9" s="24" customFormat="1" ht="14.25">
      <c r="A68" s="841"/>
      <c r="B68" s="841"/>
      <c r="C68" s="841"/>
      <c r="D68" s="841"/>
      <c r="E68" s="841"/>
      <c r="F68" s="841"/>
      <c r="G68" s="841"/>
      <c r="H68" s="841"/>
      <c r="I68" s="841"/>
    </row>
    <row r="69" spans="1:9" s="24" customFormat="1" ht="14.25">
      <c r="A69" s="841"/>
      <c r="B69" s="841"/>
      <c r="C69" s="841"/>
      <c r="D69" s="841"/>
      <c r="E69" s="841"/>
      <c r="F69" s="841"/>
      <c r="G69" s="841"/>
      <c r="H69" s="841"/>
      <c r="I69" s="841"/>
    </row>
    <row r="70" spans="1:9" s="24" customFormat="1" ht="14.25">
      <c r="A70" s="841"/>
      <c r="B70" s="841"/>
      <c r="C70" s="841"/>
      <c r="D70" s="841"/>
      <c r="E70" s="841"/>
      <c r="F70" s="841"/>
      <c r="G70" s="841"/>
      <c r="H70" s="841"/>
      <c r="I70" s="841"/>
    </row>
    <row r="71" spans="1:9" s="24" customFormat="1" ht="14.25">
      <c r="A71" s="841"/>
      <c r="B71" s="841"/>
      <c r="C71" s="841"/>
      <c r="D71" s="841"/>
      <c r="E71" s="841"/>
      <c r="F71" s="841"/>
      <c r="G71" s="841"/>
      <c r="H71" s="841"/>
      <c r="I71" s="841"/>
    </row>
    <row r="72" spans="1:9" s="24" customFormat="1" ht="14.25">
      <c r="A72" s="841"/>
      <c r="B72" s="841"/>
      <c r="C72" s="841"/>
      <c r="D72" s="841"/>
      <c r="E72" s="841"/>
      <c r="F72" s="841"/>
      <c r="G72" s="841"/>
      <c r="H72" s="841"/>
      <c r="I72" s="841"/>
    </row>
    <row r="73" spans="1:9" s="24" customFormat="1" ht="14.25">
      <c r="A73" s="841"/>
      <c r="B73" s="841"/>
      <c r="C73" s="841"/>
      <c r="D73" s="841"/>
      <c r="E73" s="841"/>
      <c r="F73" s="841"/>
      <c r="G73" s="841"/>
      <c r="H73" s="841"/>
      <c r="I73" s="841"/>
    </row>
    <row r="74" spans="1:9" s="24" customFormat="1" ht="14.25">
      <c r="A74" s="841"/>
      <c r="B74" s="841"/>
      <c r="C74" s="841"/>
      <c r="D74" s="841"/>
      <c r="E74" s="841"/>
      <c r="F74" s="841"/>
      <c r="G74" s="841"/>
      <c r="H74" s="841"/>
      <c r="I74" s="841"/>
    </row>
    <row r="75" spans="1:9" s="24" customFormat="1" ht="14.25">
      <c r="A75" s="841"/>
      <c r="B75" s="841"/>
      <c r="C75" s="841"/>
      <c r="D75" s="841"/>
      <c r="E75" s="841"/>
      <c r="F75" s="841"/>
      <c r="G75" s="841"/>
      <c r="H75" s="841"/>
      <c r="I75" s="841"/>
    </row>
    <row r="76" spans="1:9" s="24" customFormat="1" ht="14.25">
      <c r="A76" s="841"/>
      <c r="B76" s="841"/>
      <c r="C76" s="841"/>
      <c r="D76" s="841"/>
      <c r="E76" s="841"/>
      <c r="F76" s="841"/>
      <c r="G76" s="841"/>
      <c r="H76" s="841"/>
      <c r="I76" s="841"/>
    </row>
    <row r="77" spans="1:9" s="24" customFormat="1" ht="14.25">
      <c r="A77" s="841"/>
      <c r="B77" s="841"/>
      <c r="C77" s="841"/>
      <c r="D77" s="841"/>
      <c r="E77" s="841"/>
      <c r="F77" s="841"/>
      <c r="G77" s="841"/>
      <c r="H77" s="841"/>
      <c r="I77" s="841"/>
    </row>
    <row r="78" spans="1:9" s="24" customFormat="1" ht="14.25">
      <c r="A78" s="841"/>
      <c r="B78" s="841"/>
      <c r="C78" s="841"/>
      <c r="D78" s="841"/>
      <c r="E78" s="841"/>
      <c r="F78" s="841"/>
      <c r="G78" s="841"/>
      <c r="H78" s="841"/>
      <c r="I78" s="841"/>
    </row>
    <row r="79" spans="1:9" s="24" customFormat="1" ht="14.25">
      <c r="A79" s="841"/>
      <c r="B79" s="841"/>
      <c r="C79" s="841"/>
      <c r="D79" s="841"/>
      <c r="E79" s="841"/>
      <c r="F79" s="841"/>
      <c r="G79" s="841"/>
      <c r="H79" s="841"/>
      <c r="I79" s="841"/>
    </row>
    <row r="80" spans="1:9" s="24" customFormat="1" ht="14.25">
      <c r="A80" s="841"/>
      <c r="B80" s="841"/>
      <c r="C80" s="841"/>
      <c r="D80" s="841"/>
      <c r="E80" s="841"/>
      <c r="F80" s="841"/>
      <c r="G80" s="841"/>
      <c r="H80" s="841"/>
      <c r="I80" s="841"/>
    </row>
    <row r="81" spans="1:9" s="24" customFormat="1" ht="14.25">
      <c r="A81" s="841"/>
      <c r="B81" s="841"/>
      <c r="C81" s="841"/>
      <c r="D81" s="841"/>
      <c r="E81" s="841"/>
      <c r="F81" s="841"/>
      <c r="G81" s="841"/>
      <c r="H81" s="841"/>
      <c r="I81" s="841"/>
    </row>
    <row r="82" spans="1:9" s="24" customFormat="1" ht="14.25">
      <c r="A82" s="841"/>
      <c r="B82" s="841"/>
      <c r="C82" s="841"/>
      <c r="D82" s="841"/>
      <c r="E82" s="841"/>
      <c r="F82" s="841"/>
      <c r="G82" s="841"/>
      <c r="H82" s="841"/>
      <c r="I82" s="841"/>
    </row>
    <row r="83" ht="13.5" thickBot="1"/>
    <row r="84" spans="1:9" ht="15.75" thickBot="1">
      <c r="A84" s="867" t="s">
        <v>214</v>
      </c>
      <c r="B84" s="868"/>
      <c r="C84" s="868"/>
      <c r="D84" s="868"/>
      <c r="E84" s="868"/>
      <c r="F84" s="868"/>
      <c r="G84" s="868"/>
      <c r="H84" s="868"/>
      <c r="I84" s="869"/>
    </row>
    <row r="85" spans="1:9" ht="15.75" thickBot="1">
      <c r="A85" s="96" t="s">
        <v>6</v>
      </c>
      <c r="B85" s="97" t="s">
        <v>37</v>
      </c>
      <c r="C85" s="14"/>
      <c r="D85" s="14"/>
      <c r="E85" s="14"/>
      <c r="F85" s="14"/>
      <c r="G85" s="14"/>
      <c r="H85" s="14"/>
      <c r="I85" s="108"/>
    </row>
    <row r="86" spans="1:9" ht="14.25">
      <c r="A86" s="109">
        <v>1</v>
      </c>
      <c r="B86" s="110" t="s">
        <v>38</v>
      </c>
      <c r="C86" s="111"/>
      <c r="D86" s="111"/>
      <c r="E86" s="111"/>
      <c r="F86" s="111"/>
      <c r="G86" s="111"/>
      <c r="H86" s="112"/>
      <c r="I86" s="113">
        <v>0.0336</v>
      </c>
    </row>
    <row r="87" spans="1:9" ht="12.75" customHeight="1">
      <c r="A87" s="114">
        <v>2</v>
      </c>
      <c r="B87" s="115" t="s">
        <v>39</v>
      </c>
      <c r="C87" s="14"/>
      <c r="D87" s="14"/>
      <c r="E87" s="14"/>
      <c r="F87" s="14"/>
      <c r="G87" s="14"/>
      <c r="H87" s="14"/>
      <c r="I87" s="116">
        <v>0.0048</v>
      </c>
    </row>
    <row r="88" spans="1:9" ht="12.75" customHeight="1">
      <c r="A88" s="114">
        <v>3</v>
      </c>
      <c r="B88" s="115" t="s">
        <v>40</v>
      </c>
      <c r="C88" s="14"/>
      <c r="D88" s="14"/>
      <c r="E88" s="14"/>
      <c r="F88" s="14"/>
      <c r="G88" s="14"/>
      <c r="H88" s="117"/>
      <c r="I88" s="118">
        <v>0.0085</v>
      </c>
    </row>
    <row r="89" spans="1:9" ht="14.25">
      <c r="A89" s="114">
        <v>4</v>
      </c>
      <c r="B89" s="115" t="s">
        <v>41</v>
      </c>
      <c r="C89" s="14"/>
      <c r="D89" s="14"/>
      <c r="E89" s="14"/>
      <c r="F89" s="14"/>
      <c r="G89" s="14"/>
      <c r="H89" s="117"/>
      <c r="I89" s="116">
        <v>0.0085</v>
      </c>
    </row>
    <row r="90" spans="1:9" ht="14.25">
      <c r="A90" s="114">
        <v>5</v>
      </c>
      <c r="B90" s="115" t="s">
        <v>42</v>
      </c>
      <c r="C90" s="14"/>
      <c r="D90" s="14"/>
      <c r="E90" s="14"/>
      <c r="F90" s="14"/>
      <c r="G90" s="14"/>
      <c r="H90" s="117"/>
      <c r="I90" s="116">
        <v>0.0405</v>
      </c>
    </row>
    <row r="91" spans="1:9" ht="15" thickBot="1">
      <c r="A91" s="120">
        <v>6</v>
      </c>
      <c r="B91" s="121" t="s">
        <v>43</v>
      </c>
      <c r="C91" s="122"/>
      <c r="D91" s="122"/>
      <c r="E91" s="122"/>
      <c r="F91" s="122"/>
      <c r="G91" s="122"/>
      <c r="H91" s="123"/>
      <c r="I91" s="124">
        <f>I98</f>
        <v>0.0365</v>
      </c>
    </row>
    <row r="92" spans="1:9" ht="14.25">
      <c r="A92" s="95"/>
      <c r="B92" s="14"/>
      <c r="C92" s="14"/>
      <c r="D92" s="14"/>
      <c r="E92" s="14"/>
      <c r="F92" s="14"/>
      <c r="G92" s="14"/>
      <c r="H92" s="14"/>
      <c r="I92" s="125"/>
    </row>
    <row r="93" spans="1:9" ht="15.75" thickBot="1">
      <c r="A93" s="96" t="s">
        <v>6</v>
      </c>
      <c r="B93" s="97" t="s">
        <v>44</v>
      </c>
      <c r="C93" s="14"/>
      <c r="D93" s="14"/>
      <c r="E93" s="14"/>
      <c r="F93" s="14"/>
      <c r="G93" s="14"/>
      <c r="H93" s="14"/>
      <c r="I93" s="125"/>
    </row>
    <row r="94" spans="1:9" ht="14.25">
      <c r="A94" s="126" t="s">
        <v>3</v>
      </c>
      <c r="B94" s="110" t="s">
        <v>45</v>
      </c>
      <c r="C94" s="111"/>
      <c r="D94" s="111"/>
      <c r="E94" s="111"/>
      <c r="F94" s="111"/>
      <c r="G94" s="111"/>
      <c r="H94" s="111"/>
      <c r="I94" s="113">
        <v>0</v>
      </c>
    </row>
    <row r="95" spans="1:9" ht="14.25">
      <c r="A95" s="127" t="s">
        <v>4</v>
      </c>
      <c r="B95" s="115" t="s">
        <v>46</v>
      </c>
      <c r="C95" s="14"/>
      <c r="D95" s="14"/>
      <c r="E95" s="14"/>
      <c r="F95" s="14"/>
      <c r="G95" s="14"/>
      <c r="H95" s="14"/>
      <c r="I95" s="116">
        <v>0.0065</v>
      </c>
    </row>
    <row r="96" spans="1:9" ht="14.25">
      <c r="A96" s="127" t="s">
        <v>5</v>
      </c>
      <c r="B96" s="115" t="s">
        <v>47</v>
      </c>
      <c r="C96" s="14"/>
      <c r="D96" s="14"/>
      <c r="E96" s="14"/>
      <c r="F96" s="14"/>
      <c r="G96" s="14"/>
      <c r="H96" s="14"/>
      <c r="I96" s="116">
        <v>0.03</v>
      </c>
    </row>
    <row r="97" spans="1:9" ht="15" thickBot="1">
      <c r="A97" s="128" t="s">
        <v>48</v>
      </c>
      <c r="B97" s="121" t="s">
        <v>49</v>
      </c>
      <c r="C97" s="122"/>
      <c r="D97" s="122"/>
      <c r="E97" s="122"/>
      <c r="F97" s="122"/>
      <c r="G97" s="122"/>
      <c r="H97" s="122"/>
      <c r="I97" s="129">
        <v>0</v>
      </c>
    </row>
    <row r="98" spans="1:9" ht="15.75" thickBot="1">
      <c r="A98" s="40"/>
      <c r="B98" s="14"/>
      <c r="C98" s="14"/>
      <c r="D98" s="14"/>
      <c r="E98" s="14"/>
      <c r="F98" s="14"/>
      <c r="G98" s="870" t="s">
        <v>50</v>
      </c>
      <c r="H98" s="870"/>
      <c r="I98" s="130">
        <f>SUM(I94:I97)</f>
        <v>0.0365</v>
      </c>
    </row>
    <row r="99" spans="1:9" ht="15.75" thickBot="1">
      <c r="A99" s="864" t="s">
        <v>51</v>
      </c>
      <c r="B99" s="865"/>
      <c r="C99" s="865"/>
      <c r="D99" s="865"/>
      <c r="E99" s="865"/>
      <c r="F99" s="865"/>
      <c r="G99" s="865"/>
      <c r="H99" s="865"/>
      <c r="I99" s="866"/>
    </row>
    <row r="100" spans="1:9" ht="33.75" customHeight="1" thickBot="1">
      <c r="A100" s="854"/>
      <c r="B100" s="855"/>
      <c r="C100" s="855"/>
      <c r="D100" s="855"/>
      <c r="E100" s="855"/>
      <c r="F100" s="855"/>
      <c r="G100" s="855"/>
      <c r="H100" s="856"/>
      <c r="I100" s="131">
        <f>(((1+I86+I87+I88)*(1+I89)*(1+I90))/(1-I91))-1</f>
        <v>0.1401748783860921</v>
      </c>
    </row>
    <row r="101" spans="1:9" ht="15">
      <c r="A101" s="40"/>
      <c r="B101" s="14"/>
      <c r="C101" s="14"/>
      <c r="D101" s="14"/>
      <c r="E101" s="14"/>
      <c r="F101" s="14"/>
      <c r="G101" s="14"/>
      <c r="H101" s="14"/>
      <c r="I101" s="132"/>
    </row>
    <row r="102" spans="1:9" ht="15">
      <c r="A102" s="133" t="s">
        <v>52</v>
      </c>
      <c r="B102" s="14"/>
      <c r="C102" s="14"/>
      <c r="D102" s="14"/>
      <c r="E102" s="14"/>
      <c r="F102" s="14"/>
      <c r="G102" s="14"/>
      <c r="H102" s="14"/>
      <c r="I102" s="134"/>
    </row>
    <row r="103" spans="1:9" ht="14.25">
      <c r="A103" s="857" t="s">
        <v>379</v>
      </c>
      <c r="B103" s="858"/>
      <c r="C103" s="858"/>
      <c r="D103" s="858"/>
      <c r="E103" s="858"/>
      <c r="F103" s="858"/>
      <c r="G103" s="858"/>
      <c r="H103" s="858"/>
      <c r="I103" s="859"/>
    </row>
    <row r="104" spans="1:9" ht="14.25">
      <c r="A104" s="857" t="s">
        <v>54</v>
      </c>
      <c r="B104" s="858"/>
      <c r="C104" s="858"/>
      <c r="D104" s="858"/>
      <c r="E104" s="858"/>
      <c r="F104" s="858"/>
      <c r="G104" s="858"/>
      <c r="H104" s="858"/>
      <c r="I104" s="859"/>
    </row>
    <row r="105" spans="1:9" ht="14.25">
      <c r="A105" s="860" t="s">
        <v>55</v>
      </c>
      <c r="B105" s="861"/>
      <c r="C105" s="861"/>
      <c r="D105" s="861"/>
      <c r="E105" s="861"/>
      <c r="F105" s="861"/>
      <c r="G105" s="861"/>
      <c r="H105" s="861"/>
      <c r="I105" s="862"/>
    </row>
    <row r="106" spans="1:9" ht="14.25">
      <c r="A106" s="857" t="s">
        <v>56</v>
      </c>
      <c r="B106" s="858"/>
      <c r="C106" s="858"/>
      <c r="D106" s="858"/>
      <c r="E106" s="858"/>
      <c r="F106" s="858"/>
      <c r="G106" s="858"/>
      <c r="H106" s="858"/>
      <c r="I106" s="859"/>
    </row>
    <row r="107" spans="1:9" ht="14.25">
      <c r="A107" s="40"/>
      <c r="B107" s="14"/>
      <c r="C107" s="14"/>
      <c r="D107" s="14"/>
      <c r="E107" s="14"/>
      <c r="F107" s="14"/>
      <c r="G107" s="14"/>
      <c r="H107" s="14"/>
      <c r="I107" s="134"/>
    </row>
    <row r="108" spans="1:7" ht="12.75">
      <c r="A108" s="203"/>
      <c r="B108" s="196"/>
      <c r="C108" s="204"/>
      <c r="D108" s="198"/>
      <c r="E108" s="198"/>
      <c r="F108" s="3"/>
      <c r="G108" s="3"/>
    </row>
    <row r="109" spans="1:7" ht="12.75">
      <c r="A109" s="199"/>
      <c r="B109" s="200"/>
      <c r="C109" s="205"/>
      <c r="D109" s="202"/>
      <c r="E109" s="202"/>
      <c r="F109" s="3"/>
      <c r="G109" s="3"/>
    </row>
    <row r="110" spans="1:7" ht="12.75">
      <c r="A110" s="203"/>
      <c r="B110" s="196"/>
      <c r="C110" s="206"/>
      <c r="D110" s="198"/>
      <c r="E110" s="198"/>
      <c r="F110" s="3"/>
      <c r="G110" s="3"/>
    </row>
    <row r="111" spans="1:7" ht="12.75">
      <c r="A111" s="191"/>
      <c r="B111" s="191"/>
      <c r="C111" s="207"/>
      <c r="D111" s="202"/>
      <c r="E111" s="202"/>
      <c r="F111" s="3"/>
      <c r="G111" s="3"/>
    </row>
    <row r="112" spans="1:7" ht="12.75">
      <c r="A112" s="196"/>
      <c r="B112" s="196"/>
      <c r="C112" s="204"/>
      <c r="D112" s="198"/>
      <c r="E112" s="198"/>
      <c r="F112" s="3"/>
      <c r="G112" s="3"/>
    </row>
    <row r="113" spans="1:7" ht="12.75">
      <c r="A113" s="200"/>
      <c r="B113" s="200"/>
      <c r="C113" s="201"/>
      <c r="D113" s="202"/>
      <c r="E113" s="202"/>
      <c r="F113" s="3"/>
      <c r="G113" s="3"/>
    </row>
    <row r="114" spans="1:7" ht="12.75">
      <c r="A114" s="208"/>
      <c r="B114" s="196"/>
      <c r="C114" s="197"/>
      <c r="D114" s="198"/>
      <c r="E114" s="198"/>
      <c r="F114" s="3"/>
      <c r="G114" s="3"/>
    </row>
    <row r="115" spans="1:7" ht="12.75">
      <c r="A115" s="200"/>
      <c r="B115" s="200"/>
      <c r="C115" s="201"/>
      <c r="D115" s="202"/>
      <c r="E115" s="202"/>
      <c r="F115" s="3"/>
      <c r="G115" s="3"/>
    </row>
    <row r="116" spans="1:7" ht="12.75">
      <c r="A116" s="196"/>
      <c r="B116" s="196"/>
      <c r="C116" s="197"/>
      <c r="D116" s="198"/>
      <c r="E116" s="198"/>
      <c r="F116" s="3"/>
      <c r="G116" s="3"/>
    </row>
    <row r="117" spans="1:7" ht="12.75">
      <c r="A117" s="191"/>
      <c r="B117" s="191"/>
      <c r="C117" s="192"/>
      <c r="D117" s="209"/>
      <c r="E117" s="209"/>
      <c r="F117" s="3"/>
      <c r="G117" s="3"/>
    </row>
    <row r="118" spans="1:7" ht="12.75">
      <c r="A118" s="191"/>
      <c r="B118" s="191"/>
      <c r="C118" s="192"/>
      <c r="D118" s="193"/>
      <c r="E118" s="193"/>
      <c r="F118" s="3"/>
      <c r="G118" s="3"/>
    </row>
    <row r="119" spans="1:7" ht="12.75">
      <c r="A119" s="191"/>
      <c r="B119" s="191"/>
      <c r="C119" s="192"/>
      <c r="D119" s="193"/>
      <c r="E119" s="193"/>
      <c r="F119" s="3"/>
      <c r="G119" s="3"/>
    </row>
    <row r="120" spans="1:7" ht="12.75">
      <c r="A120" s="210"/>
      <c r="B120" s="863"/>
      <c r="C120" s="863"/>
      <c r="D120" s="863"/>
      <c r="E120" s="211"/>
      <c r="F120" s="3"/>
      <c r="G120" s="3"/>
    </row>
    <row r="121" spans="1:7" ht="12.75">
      <c r="A121" s="210"/>
      <c r="B121" s="194"/>
      <c r="C121" s="194"/>
      <c r="D121" s="194"/>
      <c r="E121" s="211"/>
      <c r="F121" s="3"/>
      <c r="G121" s="3"/>
    </row>
    <row r="122" spans="1:7" ht="12.75">
      <c r="A122" s="850"/>
      <c r="B122" s="850"/>
      <c r="C122" s="851"/>
      <c r="D122" s="851"/>
      <c r="E122" s="211"/>
      <c r="F122" s="3"/>
      <c r="G122" s="3"/>
    </row>
    <row r="123" spans="1:7" ht="12.75">
      <c r="A123" s="212"/>
      <c r="B123" s="213"/>
      <c r="C123" s="213"/>
      <c r="D123" s="214"/>
      <c r="E123" s="195"/>
      <c r="F123" s="3"/>
      <c r="G123" s="3"/>
    </row>
    <row r="124" spans="1:7" ht="12.75">
      <c r="A124" s="852"/>
      <c r="B124" s="853"/>
      <c r="C124" s="853"/>
      <c r="D124" s="853"/>
      <c r="E124" s="85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</sheetData>
  <mergeCells count="34">
    <mergeCell ref="A124:E124"/>
    <mergeCell ref="A84:I84"/>
    <mergeCell ref="G98:H98"/>
    <mergeCell ref="A99:I99"/>
    <mergeCell ref="A100:H100"/>
    <mergeCell ref="A103:I103"/>
    <mergeCell ref="A104:I104"/>
    <mergeCell ref="A105:I105"/>
    <mergeCell ref="A106:I106"/>
    <mergeCell ref="B120:D120"/>
    <mergeCell ref="A122:B122"/>
    <mergeCell ref="C122:D122"/>
    <mergeCell ref="A6:B7"/>
    <mergeCell ref="C3:I3"/>
    <mergeCell ref="G2:I2"/>
    <mergeCell ref="E5:F5"/>
    <mergeCell ref="E6:F7"/>
    <mergeCell ref="G5:I5"/>
    <mergeCell ref="C4:I4"/>
    <mergeCell ref="C1:I1"/>
    <mergeCell ref="A2:B2"/>
    <mergeCell ref="E2:F2"/>
    <mergeCell ref="A3:B3"/>
    <mergeCell ref="A4:B4"/>
    <mergeCell ref="A1:B1"/>
    <mergeCell ref="A9:I9"/>
    <mergeCell ref="A30:I30"/>
    <mergeCell ref="A31:I31"/>
    <mergeCell ref="A33:I33"/>
    <mergeCell ref="A29:I29"/>
    <mergeCell ref="G23:H23"/>
    <mergeCell ref="A24:I24"/>
    <mergeCell ref="A25:H25"/>
    <mergeCell ref="A28:I28"/>
  </mergeCells>
  <printOptions/>
  <pageMargins left="0.7" right="0.7" top="0.75" bottom="0.75" header="0.3" footer="0.3"/>
  <pageSetup fitToHeight="0" fitToWidth="1" horizontalDpi="1200" verticalDpi="1200" orientation="portrait" paperSize="9" scale="84" r:id="rId2"/>
  <rowBreaks count="2" manualBreakCount="2">
    <brk id="33" max="16383" man="1"/>
    <brk id="82" max="16383" man="1"/>
  </rowBreaks>
  <colBreaks count="2" manualBreakCount="2">
    <brk id="9" max="16383" man="1"/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S44"/>
  <sheetViews>
    <sheetView view="pageBreakPreview" zoomScale="85" zoomScaleSheetLayoutView="85" workbookViewId="0" topLeftCell="A7">
      <selection activeCell="S34" sqref="S34"/>
    </sheetView>
  </sheetViews>
  <sheetFormatPr defaultColWidth="9.140625" defaultRowHeight="12.75"/>
  <cols>
    <col min="1" max="1" width="7.00390625" style="0" customWidth="1"/>
    <col min="2" max="2" width="26.57421875" style="0" customWidth="1"/>
    <col min="3" max="16" width="8.7109375" style="0" customWidth="1"/>
    <col min="17" max="17" width="17.8515625" style="0" customWidth="1"/>
    <col min="19" max="19" width="21.7109375" style="0" customWidth="1"/>
    <col min="21" max="21" width="11.7109375" style="0" bestFit="1" customWidth="1"/>
  </cols>
  <sheetData>
    <row r="1" spans="1:17" s="2" customFormat="1" ht="87" customHeight="1">
      <c r="A1" s="374"/>
      <c r="B1" s="375"/>
      <c r="C1" s="375"/>
      <c r="D1" s="375" t="s">
        <v>372</v>
      </c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6"/>
    </row>
    <row r="2" spans="1:17" s="28" customFormat="1" ht="20.25" customHeight="1">
      <c r="A2" s="987" t="s">
        <v>57</v>
      </c>
      <c r="B2" s="987"/>
      <c r="C2" s="988" t="str">
        <f>'ORÇAMENTO NÃO DESONERADO'!B2</f>
        <v>PREFEITURA MUNICIPAL DE OURÉM</v>
      </c>
      <c r="D2" s="988"/>
      <c r="E2" s="988"/>
      <c r="F2" s="988"/>
      <c r="G2" s="988"/>
      <c r="H2" s="988"/>
      <c r="I2" s="988"/>
      <c r="J2" s="988"/>
      <c r="K2" s="373" t="s">
        <v>95</v>
      </c>
      <c r="L2" s="373"/>
      <c r="M2" s="989" t="str">
        <f>'ORÇAMENTO NÃO DESONERADO'!F2</f>
        <v>OURÉM/PA</v>
      </c>
      <c r="N2" s="990"/>
      <c r="O2" s="990"/>
      <c r="P2" s="990"/>
      <c r="Q2" s="991"/>
    </row>
    <row r="3" spans="1:17" s="28" customFormat="1" ht="19.5" customHeight="1">
      <c r="A3" s="895" t="s">
        <v>58</v>
      </c>
      <c r="B3" s="895"/>
      <c r="C3" s="992" t="str">
        <f>'ORÇAMENTO NÃO DESONERADO'!B3</f>
        <v>CONSTRUÇÃO DE TERMINAL RODOVIÁRIO ETAPA-02</v>
      </c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4"/>
    </row>
    <row r="4" spans="1:17" s="28" customFormat="1" ht="22.5" customHeight="1">
      <c r="A4" s="895" t="s">
        <v>59</v>
      </c>
      <c r="B4" s="895"/>
      <c r="C4" s="995" t="str">
        <f>'ORÇAMENTO NÃO DESONERADO'!B4</f>
        <v>RUA JOAQUIM DIONISIO COM RUA PERSEVERANDO S/N. PRAÇA DO TERMINAL OURÉM/PA</v>
      </c>
      <c r="D4" s="996"/>
      <c r="E4" s="996"/>
      <c r="F4" s="996"/>
      <c r="G4" s="996"/>
      <c r="H4" s="996"/>
      <c r="I4" s="996"/>
      <c r="J4" s="996"/>
      <c r="K4" s="997"/>
      <c r="L4" s="997"/>
      <c r="M4" s="997"/>
      <c r="N4" s="997"/>
      <c r="O4" s="997"/>
      <c r="P4" s="997"/>
      <c r="Q4" s="998"/>
    </row>
    <row r="5" spans="1:17" s="28" customFormat="1" ht="15" customHeight="1">
      <c r="A5" s="351" t="s">
        <v>60</v>
      </c>
      <c r="B5" s="357"/>
      <c r="C5" s="358">
        <f>'ORÇAMENTO NÃO DESONERADO'!B5</f>
        <v>0.25</v>
      </c>
      <c r="D5" s="348"/>
      <c r="E5" s="348"/>
      <c r="F5" s="348"/>
      <c r="G5" s="348"/>
      <c r="H5" s="348"/>
      <c r="I5" s="348"/>
      <c r="J5" s="349"/>
      <c r="K5" s="974" t="s">
        <v>36</v>
      </c>
      <c r="L5" s="975"/>
      <c r="M5" s="976" t="str">
        <f>'ORÇAMENTO NÃO DESONERADO'!F6</f>
        <v>SINAPI - JULHO DE 2020</v>
      </c>
      <c r="N5" s="977"/>
      <c r="O5" s="977"/>
      <c r="P5" s="977"/>
      <c r="Q5" s="978"/>
    </row>
    <row r="6" spans="1:17" s="28" customFormat="1" ht="15" customHeight="1">
      <c r="A6" s="880" t="s">
        <v>96</v>
      </c>
      <c r="B6" s="880"/>
      <c r="C6" s="982" t="str">
        <f>'ORÇAMENTO NÃO DESONERADO'!B6</f>
        <v xml:space="preserve"> MARUZA BAPTISTA </v>
      </c>
      <c r="D6" s="982"/>
      <c r="E6" s="982"/>
      <c r="F6" s="982"/>
      <c r="G6" s="982"/>
      <c r="H6" s="982"/>
      <c r="I6" s="982"/>
      <c r="J6" s="982"/>
      <c r="K6" s="901"/>
      <c r="L6" s="901"/>
      <c r="M6" s="979"/>
      <c r="N6" s="980"/>
      <c r="O6" s="980"/>
      <c r="P6" s="980"/>
      <c r="Q6" s="981"/>
    </row>
    <row r="7" spans="1:17" s="28" customFormat="1" ht="33" customHeight="1">
      <c r="A7" s="880"/>
      <c r="B7" s="880"/>
      <c r="C7" s="882"/>
      <c r="D7" s="882"/>
      <c r="E7" s="882"/>
      <c r="F7" s="882"/>
      <c r="G7" s="882"/>
      <c r="H7" s="882"/>
      <c r="I7" s="882"/>
      <c r="J7" s="882"/>
      <c r="K7" s="983" t="s">
        <v>98</v>
      </c>
      <c r="L7" s="983"/>
      <c r="M7" s="984" t="str">
        <f>'ORÇAMENTO NÃO DESONERADO'!F7</f>
        <v>CAU:A 28510-2/PA</v>
      </c>
      <c r="N7" s="985"/>
      <c r="O7" s="985"/>
      <c r="P7" s="985"/>
      <c r="Q7" s="986"/>
    </row>
    <row r="8" spans="1:11" s="32" customFormat="1" ht="15">
      <c r="A8" s="35"/>
      <c r="B8" s="36"/>
      <c r="C8" s="36"/>
      <c r="D8" s="37"/>
      <c r="E8" s="37"/>
      <c r="F8" s="38"/>
      <c r="G8" s="38"/>
      <c r="H8" s="38"/>
      <c r="I8" s="38"/>
      <c r="J8" s="39"/>
      <c r="K8" s="39"/>
    </row>
    <row r="9" spans="1:17" s="24" customFormat="1" ht="15">
      <c r="A9" s="968" t="s">
        <v>12</v>
      </c>
      <c r="B9" s="968" t="s">
        <v>13</v>
      </c>
      <c r="C9" s="968" t="s">
        <v>14</v>
      </c>
      <c r="D9" s="968"/>
      <c r="E9" s="968" t="s">
        <v>15</v>
      </c>
      <c r="F9" s="968"/>
      <c r="G9" s="968" t="s">
        <v>16</v>
      </c>
      <c r="H9" s="968"/>
      <c r="I9" s="968" t="s">
        <v>17</v>
      </c>
      <c r="J9" s="968"/>
      <c r="K9" s="968" t="s">
        <v>129</v>
      </c>
      <c r="L9" s="968"/>
      <c r="M9" s="968" t="s">
        <v>130</v>
      </c>
      <c r="N9" s="968"/>
      <c r="O9" s="968" t="s">
        <v>131</v>
      </c>
      <c r="P9" s="968"/>
      <c r="Q9" s="968" t="s">
        <v>18</v>
      </c>
    </row>
    <row r="10" spans="1:17" s="24" customFormat="1" ht="14.25">
      <c r="A10" s="968"/>
      <c r="B10" s="968"/>
      <c r="C10" s="332" t="s">
        <v>19</v>
      </c>
      <c r="D10" s="332" t="s">
        <v>19</v>
      </c>
      <c r="E10" s="332" t="s">
        <v>19</v>
      </c>
      <c r="F10" s="332" t="s">
        <v>19</v>
      </c>
      <c r="G10" s="332" t="s">
        <v>19</v>
      </c>
      <c r="H10" s="332" t="s">
        <v>19</v>
      </c>
      <c r="I10" s="332" t="s">
        <v>19</v>
      </c>
      <c r="J10" s="332" t="s">
        <v>19</v>
      </c>
      <c r="K10" s="332" t="s">
        <v>19</v>
      </c>
      <c r="L10" s="332" t="s">
        <v>19</v>
      </c>
      <c r="M10" s="332" t="s">
        <v>19</v>
      </c>
      <c r="N10" s="332" t="s">
        <v>19</v>
      </c>
      <c r="O10" s="332" t="s">
        <v>19</v>
      </c>
      <c r="P10" s="332" t="s">
        <v>19</v>
      </c>
      <c r="Q10" s="968"/>
    </row>
    <row r="11" spans="1:19" s="24" customFormat="1" ht="14.25">
      <c r="A11" s="969">
        <f>'ORÇAMENTO NÃO DESONERADO'!A10</f>
        <v>1</v>
      </c>
      <c r="B11" s="971" t="str">
        <f>'ORÇAMENTO NÃO DESONERADO'!C10</f>
        <v>ADMINISTRAÇÃO LOCAL</v>
      </c>
      <c r="C11" s="972">
        <v>0.2</v>
      </c>
      <c r="D11" s="972"/>
      <c r="E11" s="972">
        <v>0.2</v>
      </c>
      <c r="F11" s="972"/>
      <c r="G11" s="972">
        <v>0.2</v>
      </c>
      <c r="H11" s="972"/>
      <c r="I11" s="972">
        <v>0.2</v>
      </c>
      <c r="J11" s="972"/>
      <c r="K11" s="972">
        <v>0.2</v>
      </c>
      <c r="L11" s="972"/>
      <c r="M11" s="973"/>
      <c r="N11" s="973"/>
      <c r="O11" s="973"/>
      <c r="P11" s="973"/>
      <c r="Q11" s="962">
        <f>'ORÇAMENTO NÃO DESONERADO'!H12</f>
        <v>12298.19</v>
      </c>
      <c r="S11" s="161"/>
    </row>
    <row r="12" spans="1:19" s="24" customFormat="1" ht="14.25">
      <c r="A12" s="969"/>
      <c r="B12" s="971"/>
      <c r="C12" s="99"/>
      <c r="D12" s="100"/>
      <c r="E12" s="99"/>
      <c r="F12" s="100"/>
      <c r="G12" s="101"/>
      <c r="H12" s="102"/>
      <c r="I12" s="101"/>
      <c r="J12" s="103"/>
      <c r="K12" s="101"/>
      <c r="L12" s="103"/>
      <c r="M12" s="799"/>
      <c r="N12" s="800"/>
      <c r="O12" s="799"/>
      <c r="P12" s="801"/>
      <c r="Q12" s="962"/>
      <c r="S12" s="161"/>
    </row>
    <row r="13" spans="1:19" s="24" customFormat="1" ht="14.25">
      <c r="A13" s="970"/>
      <c r="B13" s="971"/>
      <c r="C13" s="964">
        <f>$Q$11*C11</f>
        <v>2459.6380000000004</v>
      </c>
      <c r="D13" s="964"/>
      <c r="E13" s="964">
        <f>$Q$11*E11</f>
        <v>2459.6380000000004</v>
      </c>
      <c r="F13" s="964"/>
      <c r="G13" s="964">
        <f>$Q$11*G11</f>
        <v>2459.6380000000004</v>
      </c>
      <c r="H13" s="964"/>
      <c r="I13" s="964">
        <f>$Q$11*I11</f>
        <v>2459.6380000000004</v>
      </c>
      <c r="J13" s="964"/>
      <c r="K13" s="964">
        <f>$Q$11*K11</f>
        <v>2459.6380000000004</v>
      </c>
      <c r="L13" s="964"/>
      <c r="M13" s="915"/>
      <c r="N13" s="915"/>
      <c r="O13" s="915"/>
      <c r="P13" s="915"/>
      <c r="Q13" s="962"/>
      <c r="S13" s="161"/>
    </row>
    <row r="14" spans="1:19" s="24" customFormat="1" ht="14.25">
      <c r="A14" s="907">
        <f>'ORÇAMENTO NÃO DESONERADO'!A14</f>
        <v>2</v>
      </c>
      <c r="B14" s="918" t="str">
        <f>'ORÇAMENTO NÃO DESONERADO'!C14</f>
        <v xml:space="preserve">SERVIÇOS PRELIMINARES </v>
      </c>
      <c r="C14" s="967">
        <v>1</v>
      </c>
      <c r="D14" s="967"/>
      <c r="E14" s="967"/>
      <c r="F14" s="967"/>
      <c r="G14" s="967"/>
      <c r="H14" s="967"/>
      <c r="I14" s="967"/>
      <c r="J14" s="967"/>
      <c r="K14" s="967"/>
      <c r="L14" s="967"/>
      <c r="M14" s="959"/>
      <c r="N14" s="959"/>
      <c r="O14" s="959"/>
      <c r="P14" s="960"/>
      <c r="Q14" s="911">
        <f>'ORÇAMENTO NÃO DESONERADO'!H18</f>
        <v>13076.21</v>
      </c>
      <c r="S14" s="161"/>
    </row>
    <row r="15" spans="1:19" s="24" customFormat="1" ht="14.25">
      <c r="A15" s="907"/>
      <c r="B15" s="965"/>
      <c r="C15" s="99"/>
      <c r="D15" s="100"/>
      <c r="E15" s="104"/>
      <c r="F15" s="105"/>
      <c r="G15" s="104"/>
      <c r="H15" s="105"/>
      <c r="I15" s="104"/>
      <c r="J15" s="105"/>
      <c r="K15" s="104"/>
      <c r="L15" s="105"/>
      <c r="M15" s="799"/>
      <c r="N15" s="800"/>
      <c r="O15" s="799"/>
      <c r="P15" s="801"/>
      <c r="Q15" s="961"/>
      <c r="S15" s="161"/>
    </row>
    <row r="16" spans="1:19" s="24" customFormat="1" ht="14.25">
      <c r="A16" s="907"/>
      <c r="B16" s="966"/>
      <c r="C16" s="963">
        <f>Q14*C14</f>
        <v>13076.21</v>
      </c>
      <c r="D16" s="963"/>
      <c r="E16" s="931"/>
      <c r="F16" s="931"/>
      <c r="G16" s="931"/>
      <c r="H16" s="931"/>
      <c r="I16" s="931"/>
      <c r="J16" s="931"/>
      <c r="K16" s="931"/>
      <c r="L16" s="931"/>
      <c r="M16" s="939"/>
      <c r="N16" s="939"/>
      <c r="O16" s="939"/>
      <c r="P16" s="940"/>
      <c r="Q16" s="962"/>
      <c r="S16" s="161"/>
    </row>
    <row r="17" spans="1:19" s="24" customFormat="1" ht="14.25">
      <c r="A17" s="907">
        <f>'ORÇAMENTO NÃO DESONERADO'!A20</f>
        <v>3</v>
      </c>
      <c r="B17" s="956" t="str">
        <f>'ORÇAMENTO NÃO DESONERADO'!C20</f>
        <v>PAVIMENTAÇÃO EXTERNA</v>
      </c>
      <c r="C17" s="957"/>
      <c r="D17" s="958"/>
      <c r="E17" s="957"/>
      <c r="F17" s="958"/>
      <c r="G17" s="957"/>
      <c r="H17" s="958"/>
      <c r="I17" s="948">
        <v>0.2</v>
      </c>
      <c r="J17" s="949"/>
      <c r="K17" s="948">
        <v>0.8</v>
      </c>
      <c r="L17" s="949"/>
      <c r="M17" s="950"/>
      <c r="N17" s="951"/>
      <c r="O17" s="922"/>
      <c r="P17" s="923"/>
      <c r="Q17" s="910">
        <f>'ORÇAMENTO NÃO DESONERADO'!H25</f>
        <v>8834.39</v>
      </c>
      <c r="S17" s="161"/>
    </row>
    <row r="18" spans="1:19" s="24" customFormat="1" ht="14.25">
      <c r="A18" s="907"/>
      <c r="B18" s="956"/>
      <c r="C18" s="162"/>
      <c r="D18" s="163"/>
      <c r="E18" s="162"/>
      <c r="F18" s="163"/>
      <c r="G18" s="162"/>
      <c r="H18" s="163"/>
      <c r="I18" s="159"/>
      <c r="J18" s="160"/>
      <c r="K18" s="159"/>
      <c r="L18" s="160"/>
      <c r="M18" s="802"/>
      <c r="N18" s="803"/>
      <c r="O18" s="799"/>
      <c r="P18" s="801"/>
      <c r="Q18" s="910"/>
      <c r="S18" s="161"/>
    </row>
    <row r="19" spans="1:19" s="24" customFormat="1" ht="14.25">
      <c r="A19" s="907"/>
      <c r="B19" s="956"/>
      <c r="C19" s="952"/>
      <c r="D19" s="953"/>
      <c r="E19" s="952"/>
      <c r="F19" s="953"/>
      <c r="G19" s="952"/>
      <c r="H19" s="953"/>
      <c r="I19" s="954">
        <f>I17*$Q$17</f>
        <v>1766.878</v>
      </c>
      <c r="J19" s="955"/>
      <c r="K19" s="954">
        <f>K17*$Q$17</f>
        <v>7067.512</v>
      </c>
      <c r="L19" s="955"/>
      <c r="M19" s="941"/>
      <c r="N19" s="942"/>
      <c r="O19" s="939"/>
      <c r="P19" s="940"/>
      <c r="Q19" s="910"/>
      <c r="S19" s="161"/>
    </row>
    <row r="20" spans="1:19" s="24" customFormat="1" ht="14.25">
      <c r="A20" s="907">
        <f>'ORÇAMENTO NÃO DESONERADO'!A27</f>
        <v>4</v>
      </c>
      <c r="B20" s="943" t="str">
        <f>'ORÇAMENTO NÃO DESONERADO'!C27</f>
        <v xml:space="preserve">URBANIZAÇÃO </v>
      </c>
      <c r="C20" s="919"/>
      <c r="D20" s="919"/>
      <c r="E20" s="944"/>
      <c r="F20" s="945"/>
      <c r="G20" s="920">
        <v>0.2</v>
      </c>
      <c r="H20" s="946"/>
      <c r="I20" s="920">
        <v>0.8</v>
      </c>
      <c r="J20" s="921"/>
      <c r="K20" s="926"/>
      <c r="L20" s="927"/>
      <c r="M20" s="947"/>
      <c r="N20" s="927"/>
      <c r="O20" s="922"/>
      <c r="P20" s="923"/>
      <c r="Q20" s="910">
        <f>'ORÇAMENTO NÃO DESONERADO'!H39</f>
        <v>17974.49</v>
      </c>
      <c r="S20" s="161"/>
    </row>
    <row r="21" spans="1:19" s="24" customFormat="1" ht="14.25">
      <c r="A21" s="907"/>
      <c r="B21" s="943"/>
      <c r="C21" s="104"/>
      <c r="D21" s="105"/>
      <c r="E21" s="104"/>
      <c r="F21" s="105"/>
      <c r="G21" s="99"/>
      <c r="H21" s="100"/>
      <c r="I21" s="99"/>
      <c r="J21" s="158"/>
      <c r="K21" s="802"/>
      <c r="L21" s="800"/>
      <c r="M21" s="801"/>
      <c r="N21" s="800"/>
      <c r="O21" s="799"/>
      <c r="P21" s="801"/>
      <c r="Q21" s="910"/>
      <c r="S21" s="161"/>
    </row>
    <row r="22" spans="1:19" s="24" customFormat="1" ht="14.25">
      <c r="A22" s="907"/>
      <c r="B22" s="943"/>
      <c r="C22" s="931"/>
      <c r="D22" s="931"/>
      <c r="E22" s="932"/>
      <c r="F22" s="933"/>
      <c r="G22" s="934">
        <f>G20*Q20</f>
        <v>3594.8980000000006</v>
      </c>
      <c r="H22" s="935"/>
      <c r="I22" s="934">
        <f>I20*Q20</f>
        <v>14379.592000000002</v>
      </c>
      <c r="J22" s="936"/>
      <c r="K22" s="941"/>
      <c r="L22" s="938"/>
      <c r="M22" s="937"/>
      <c r="N22" s="938"/>
      <c r="O22" s="939"/>
      <c r="P22" s="940"/>
      <c r="Q22" s="910"/>
      <c r="S22" s="161"/>
    </row>
    <row r="23" spans="1:19" s="24" customFormat="1" ht="14.25">
      <c r="A23" s="907" t="str">
        <f>'ORÇAMENTO NÃO DESONERADO'!A41</f>
        <v>5</v>
      </c>
      <c r="B23" s="908" t="str">
        <f>'ORÇAMENTO NÃO DESONERADO'!C41</f>
        <v>TERMINAL RODOVIARIO</v>
      </c>
      <c r="C23" s="924">
        <v>0.181</v>
      </c>
      <c r="D23" s="925"/>
      <c r="E23" s="924">
        <v>0.2386</v>
      </c>
      <c r="F23" s="925"/>
      <c r="G23" s="924">
        <v>0.2387</v>
      </c>
      <c r="H23" s="925"/>
      <c r="I23" s="924">
        <v>0.1616</v>
      </c>
      <c r="J23" s="925"/>
      <c r="K23" s="924">
        <v>0.1801</v>
      </c>
      <c r="L23" s="925"/>
      <c r="M23" s="926"/>
      <c r="N23" s="927"/>
      <c r="O23" s="922"/>
      <c r="P23" s="923"/>
      <c r="Q23" s="910">
        <f>'ORÇAMENTO NÃO DESONERADO'!H153</f>
        <v>199426.37999999998</v>
      </c>
      <c r="S23" s="842"/>
    </row>
    <row r="24" spans="1:17" s="24" customFormat="1" ht="14.25">
      <c r="A24" s="907"/>
      <c r="B24" s="908"/>
      <c r="C24" s="99"/>
      <c r="D24" s="158"/>
      <c r="E24" s="99"/>
      <c r="F24" s="158"/>
      <c r="G24" s="99"/>
      <c r="H24" s="158"/>
      <c r="I24" s="99"/>
      <c r="J24" s="158"/>
      <c r="K24" s="99"/>
      <c r="L24" s="158"/>
      <c r="M24" s="799"/>
      <c r="N24" s="801"/>
      <c r="O24" s="799"/>
      <c r="P24" s="801"/>
      <c r="Q24" s="910"/>
    </row>
    <row r="25" spans="1:19" s="24" customFormat="1" ht="14.25">
      <c r="A25" s="907"/>
      <c r="B25" s="908"/>
      <c r="C25" s="913">
        <f>C23*$Q$23</f>
        <v>36096.174779999994</v>
      </c>
      <c r="D25" s="914"/>
      <c r="E25" s="913">
        <f>E23*$Q$23</f>
        <v>47583.134267999994</v>
      </c>
      <c r="F25" s="914"/>
      <c r="G25" s="913">
        <f>G23*$Q$23</f>
        <v>47603.076905999995</v>
      </c>
      <c r="H25" s="914"/>
      <c r="I25" s="913">
        <f>I23*$Q$23</f>
        <v>32227.303007999995</v>
      </c>
      <c r="J25" s="914"/>
      <c r="K25" s="913">
        <f>K23*$Q$23</f>
        <v>35916.691038</v>
      </c>
      <c r="L25" s="914"/>
      <c r="M25" s="928"/>
      <c r="N25" s="929"/>
      <c r="O25" s="928"/>
      <c r="P25" s="930"/>
      <c r="Q25" s="910"/>
      <c r="S25" s="161"/>
    </row>
    <row r="26" spans="1:19" s="24" customFormat="1" ht="14.25">
      <c r="A26" s="907">
        <f>'ORÇAMENTO NÃO DESONERADO'!A155</f>
        <v>6</v>
      </c>
      <c r="B26" s="908" t="str">
        <f>'ORÇAMENTO NÃO DESONERADO'!C155</f>
        <v>SERVIÇOS FINAIS</v>
      </c>
      <c r="C26" s="919"/>
      <c r="D26" s="919"/>
      <c r="E26" s="919"/>
      <c r="F26" s="919"/>
      <c r="G26" s="919"/>
      <c r="H26" s="919"/>
      <c r="I26" s="919"/>
      <c r="J26" s="919"/>
      <c r="K26" s="920">
        <v>1</v>
      </c>
      <c r="L26" s="921"/>
      <c r="M26" s="922"/>
      <c r="N26" s="923"/>
      <c r="O26" s="922"/>
      <c r="P26" s="923"/>
      <c r="Q26" s="910">
        <f>'ORÇAMENTO NÃO DESONERADO'!H157</f>
        <v>890.34</v>
      </c>
      <c r="S26" s="161"/>
    </row>
    <row r="27" spans="1:19" s="24" customFormat="1" ht="14.25">
      <c r="A27" s="907"/>
      <c r="B27" s="908"/>
      <c r="C27" s="104"/>
      <c r="D27" s="105"/>
      <c r="E27" s="104"/>
      <c r="F27" s="105"/>
      <c r="G27" s="104"/>
      <c r="H27" s="105"/>
      <c r="I27" s="104"/>
      <c r="J27" s="105"/>
      <c r="K27" s="99"/>
      <c r="L27" s="158"/>
      <c r="M27" s="799"/>
      <c r="N27" s="801"/>
      <c r="O27" s="799"/>
      <c r="P27" s="801"/>
      <c r="Q27" s="910"/>
      <c r="S27" s="161"/>
    </row>
    <row r="28" spans="1:19" s="24" customFormat="1" ht="14.25">
      <c r="A28" s="907"/>
      <c r="B28" s="918"/>
      <c r="C28" s="912"/>
      <c r="D28" s="912"/>
      <c r="E28" s="912"/>
      <c r="F28" s="912"/>
      <c r="G28" s="912"/>
      <c r="H28" s="912"/>
      <c r="I28" s="912"/>
      <c r="J28" s="912"/>
      <c r="K28" s="913">
        <f>K26*$Q$26</f>
        <v>890.34</v>
      </c>
      <c r="L28" s="914"/>
      <c r="M28" s="915"/>
      <c r="N28" s="916"/>
      <c r="O28" s="917"/>
      <c r="P28" s="916"/>
      <c r="Q28" s="911"/>
      <c r="S28" s="161"/>
    </row>
    <row r="29" spans="1:19" s="24" customFormat="1" ht="15">
      <c r="A29" s="335"/>
      <c r="B29" s="333" t="s">
        <v>24</v>
      </c>
      <c r="C29" s="345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7"/>
      <c r="Q29" s="334">
        <f>SUM(Q11:Q28)</f>
        <v>252499.99999999997</v>
      </c>
      <c r="S29" s="161"/>
    </row>
    <row r="30" spans="1:19" s="24" customFormat="1" ht="14.25">
      <c r="A30" s="335"/>
      <c r="B30" s="341"/>
      <c r="C30" s="909"/>
      <c r="D30" s="909"/>
      <c r="E30" s="909"/>
      <c r="F30" s="909"/>
      <c r="G30" s="909"/>
      <c r="H30" s="909"/>
      <c r="I30" s="344"/>
      <c r="J30" s="344"/>
      <c r="K30" s="344"/>
      <c r="L30" s="344"/>
      <c r="M30" s="344"/>
      <c r="N30" s="344"/>
      <c r="O30" s="344"/>
      <c r="P30" s="344"/>
      <c r="Q30" s="847"/>
      <c r="S30" s="161"/>
    </row>
    <row r="31" spans="1:19" s="24" customFormat="1" ht="15">
      <c r="A31" s="336"/>
      <c r="B31" s="342" t="s">
        <v>20</v>
      </c>
      <c r="C31" s="906">
        <f>C13+C16+C19+C22+C25+C28</f>
        <v>51632.02277999999</v>
      </c>
      <c r="D31" s="906"/>
      <c r="E31" s="906">
        <f>E13+E16+E19+E22+E25+E28</f>
        <v>50042.77226799999</v>
      </c>
      <c r="F31" s="906"/>
      <c r="G31" s="906">
        <f>G13+G16+G19+G22+G25+G28</f>
        <v>53657.612905999995</v>
      </c>
      <c r="H31" s="906"/>
      <c r="I31" s="906">
        <f>I13+I16+I19+I22+I25+I28</f>
        <v>50833.411007999995</v>
      </c>
      <c r="J31" s="906"/>
      <c r="K31" s="906">
        <f>K13+K16+K19+K22+K25+K28</f>
        <v>46334.181037999995</v>
      </c>
      <c r="L31" s="906"/>
      <c r="M31" s="906">
        <f>M13+M16+M19+M22+M25+M28</f>
        <v>0</v>
      </c>
      <c r="N31" s="906"/>
      <c r="O31" s="906">
        <f>O13+O16+O19+O22+O25+O28</f>
        <v>0</v>
      </c>
      <c r="P31" s="906"/>
      <c r="Q31" s="337">
        <f>SUM(C31:P31)</f>
        <v>252500</v>
      </c>
      <c r="S31" s="161"/>
    </row>
    <row r="32" spans="1:19" s="24" customFormat="1" ht="15">
      <c r="A32" s="338"/>
      <c r="B32" s="343" t="s">
        <v>21</v>
      </c>
      <c r="C32" s="904">
        <f>C31/$Q$31</f>
        <v>0.20448325853465343</v>
      </c>
      <c r="D32" s="904"/>
      <c r="E32" s="904">
        <f>E31/$Q$31</f>
        <v>0.19818919710099006</v>
      </c>
      <c r="F32" s="904"/>
      <c r="G32" s="904">
        <f>G31/$Q$31</f>
        <v>0.21250539764752474</v>
      </c>
      <c r="H32" s="904"/>
      <c r="I32" s="904">
        <f>I31/$Q$31</f>
        <v>0.20132043963564356</v>
      </c>
      <c r="J32" s="904"/>
      <c r="K32" s="904">
        <f>K31/$Q$31</f>
        <v>0.1835017070811881</v>
      </c>
      <c r="L32" s="904"/>
      <c r="M32" s="904">
        <f>M31/$Q$31</f>
        <v>0</v>
      </c>
      <c r="N32" s="904"/>
      <c r="O32" s="904">
        <f>O31/$Q$31</f>
        <v>0</v>
      </c>
      <c r="P32" s="904"/>
      <c r="Q32" s="339">
        <f>SUM(C32:P32)</f>
        <v>0.9999999999999999</v>
      </c>
      <c r="S32" s="161"/>
    </row>
    <row r="33" spans="1:19" s="24" customFormat="1" ht="15">
      <c r="A33" s="340"/>
      <c r="B33" s="342" t="s">
        <v>22</v>
      </c>
      <c r="C33" s="906">
        <f>C31</f>
        <v>51632.02277999999</v>
      </c>
      <c r="D33" s="906"/>
      <c r="E33" s="906">
        <f>SUM(C31:F31)</f>
        <v>101674.79504799999</v>
      </c>
      <c r="F33" s="906"/>
      <c r="G33" s="906">
        <f>SUM(C31:H31)</f>
        <v>155332.407954</v>
      </c>
      <c r="H33" s="906"/>
      <c r="I33" s="906">
        <f>SUM(C31:J31)</f>
        <v>206165.818962</v>
      </c>
      <c r="J33" s="906"/>
      <c r="K33" s="906">
        <f>SUM(C31:L31)</f>
        <v>252500</v>
      </c>
      <c r="L33" s="906"/>
      <c r="M33" s="906">
        <f>SUM(C31:N31)</f>
        <v>252500</v>
      </c>
      <c r="N33" s="906"/>
      <c r="O33" s="906">
        <f>SUM(C31:P31)</f>
        <v>252500</v>
      </c>
      <c r="P33" s="906"/>
      <c r="S33" s="161"/>
    </row>
    <row r="34" spans="1:19" s="24" customFormat="1" ht="15">
      <c r="A34" s="338"/>
      <c r="B34" s="343" t="s">
        <v>23</v>
      </c>
      <c r="C34" s="904">
        <f>C32</f>
        <v>0.20448325853465343</v>
      </c>
      <c r="D34" s="904"/>
      <c r="E34" s="904">
        <f>SUM(C32:F32)</f>
        <v>0.40267245563564347</v>
      </c>
      <c r="F34" s="904"/>
      <c r="G34" s="904">
        <f>SUM(C32:H32)</f>
        <v>0.6151778532831682</v>
      </c>
      <c r="H34" s="904"/>
      <c r="I34" s="904">
        <f>SUM(C32:J32)</f>
        <v>0.8164982929188118</v>
      </c>
      <c r="J34" s="904"/>
      <c r="K34" s="904">
        <f>SUM(C32:L32)</f>
        <v>0.9999999999999999</v>
      </c>
      <c r="L34" s="904"/>
      <c r="M34" s="904">
        <f>SUM(C32:N32)</f>
        <v>0.9999999999999999</v>
      </c>
      <c r="N34" s="904"/>
      <c r="O34" s="904">
        <f>SUM(C32:P32)</f>
        <v>0.9999999999999999</v>
      </c>
      <c r="P34" s="904"/>
      <c r="S34" s="161"/>
    </row>
    <row r="35" s="24" customFormat="1" ht="14.25">
      <c r="S35" s="161"/>
    </row>
    <row r="36" s="24" customFormat="1" ht="14.25"/>
    <row r="37" s="24" customFormat="1" ht="14.25"/>
    <row r="38" s="24" customFormat="1" ht="14.25"/>
    <row r="39" s="24" customFormat="1" ht="14.25">
      <c r="S39" s="24">
        <f>'ORÇAMENTO NÃO DESONERADO'!H159</f>
        <v>252499.99999999997</v>
      </c>
    </row>
    <row r="40" s="24" customFormat="1" ht="14.25"/>
    <row r="41" spans="3:16" s="24" customFormat="1" ht="15">
      <c r="C41" s="14"/>
      <c r="D41" s="905"/>
      <c r="E41" s="905"/>
      <c r="F41" s="905"/>
      <c r="G41" s="905"/>
      <c r="H41" s="905"/>
      <c r="I41" s="905"/>
      <c r="J41" s="905"/>
      <c r="K41" s="57"/>
      <c r="L41" s="57"/>
      <c r="M41" s="57"/>
      <c r="N41" s="57"/>
      <c r="O41" s="57"/>
      <c r="P41" s="57"/>
    </row>
    <row r="42" spans="3:16" s="24" customFormat="1" ht="15">
      <c r="C42" s="14"/>
      <c r="D42" s="905"/>
      <c r="E42" s="905"/>
      <c r="F42" s="905"/>
      <c r="G42" s="905"/>
      <c r="H42" s="905"/>
      <c r="I42" s="905"/>
      <c r="J42" s="905"/>
      <c r="K42" s="57"/>
      <c r="L42" s="57"/>
      <c r="M42" s="57"/>
      <c r="N42" s="57"/>
      <c r="O42" s="57"/>
      <c r="P42" s="57"/>
    </row>
    <row r="43" spans="3:16" s="24" customFormat="1" ht="15">
      <c r="C43" s="14"/>
      <c r="D43" s="905"/>
      <c r="E43" s="905"/>
      <c r="F43" s="905"/>
      <c r="G43" s="905"/>
      <c r="H43" s="905"/>
      <c r="I43" s="905"/>
      <c r="J43" s="905"/>
      <c r="K43" s="57"/>
      <c r="L43" s="57"/>
      <c r="M43" s="57"/>
      <c r="N43" s="57"/>
      <c r="O43" s="57"/>
      <c r="P43" s="57"/>
    </row>
    <row r="44" spans="3:16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</sheetData>
  <mergeCells count="159">
    <mergeCell ref="C6:J7"/>
    <mergeCell ref="K5:L6"/>
    <mergeCell ref="K7:L7"/>
    <mergeCell ref="A2:B2"/>
    <mergeCell ref="A3:B3"/>
    <mergeCell ref="A4:B4"/>
    <mergeCell ref="A6:B7"/>
    <mergeCell ref="C2:J2"/>
    <mergeCell ref="Q26:Q28"/>
    <mergeCell ref="C28:D28"/>
    <mergeCell ref="A23:A25"/>
    <mergeCell ref="B23:B25"/>
    <mergeCell ref="E25:F25"/>
    <mergeCell ref="G23:H23"/>
    <mergeCell ref="G25:H25"/>
    <mergeCell ref="I28:J28"/>
    <mergeCell ref="A26:A28"/>
    <mergeCell ref="B26:B28"/>
    <mergeCell ref="Q20:Q22"/>
    <mergeCell ref="C22:D22"/>
    <mergeCell ref="E22:F22"/>
    <mergeCell ref="G22:H22"/>
    <mergeCell ref="Q17:Q19"/>
    <mergeCell ref="A20:A22"/>
    <mergeCell ref="Q23:Q25"/>
    <mergeCell ref="C25:D25"/>
    <mergeCell ref="C23:D23"/>
    <mergeCell ref="O23:P23"/>
    <mergeCell ref="M23:N23"/>
    <mergeCell ref="M25:N25"/>
    <mergeCell ref="M28:N28"/>
    <mergeCell ref="K26:L26"/>
    <mergeCell ref="K28:L28"/>
    <mergeCell ref="E26:F26"/>
    <mergeCell ref="G26:H26"/>
    <mergeCell ref="E28:F28"/>
    <mergeCell ref="G28:H28"/>
    <mergeCell ref="I23:J23"/>
    <mergeCell ref="I25:J25"/>
    <mergeCell ref="E23:F23"/>
    <mergeCell ref="M20:N20"/>
    <mergeCell ref="M22:N22"/>
    <mergeCell ref="C20:D20"/>
    <mergeCell ref="K17:L17"/>
    <mergeCell ref="I17:J17"/>
    <mergeCell ref="I19:J19"/>
    <mergeCell ref="C31:D31"/>
    <mergeCell ref="E31:F31"/>
    <mergeCell ref="G31:H31"/>
    <mergeCell ref="I31:J31"/>
    <mergeCell ref="M31:N31"/>
    <mergeCell ref="C30:D30"/>
    <mergeCell ref="E30:F30"/>
    <mergeCell ref="G30:H30"/>
    <mergeCell ref="K20:L20"/>
    <mergeCell ref="K22:L22"/>
    <mergeCell ref="K9:L9"/>
    <mergeCell ref="M9:N9"/>
    <mergeCell ref="M11:N11"/>
    <mergeCell ref="M13:N13"/>
    <mergeCell ref="K11:L11"/>
    <mergeCell ref="K13:L13"/>
    <mergeCell ref="A9:A10"/>
    <mergeCell ref="B9:B10"/>
    <mergeCell ref="C9:D9"/>
    <mergeCell ref="E9:F9"/>
    <mergeCell ref="G9:H9"/>
    <mergeCell ref="I9:J9"/>
    <mergeCell ref="D41:J41"/>
    <mergeCell ref="D42:J42"/>
    <mergeCell ref="I20:J20"/>
    <mergeCell ref="C34:D34"/>
    <mergeCell ref="E34:F34"/>
    <mergeCell ref="G34:H34"/>
    <mergeCell ref="I34:J34"/>
    <mergeCell ref="C33:D33"/>
    <mergeCell ref="E33:F33"/>
    <mergeCell ref="G33:H33"/>
    <mergeCell ref="I33:J33"/>
    <mergeCell ref="C32:D32"/>
    <mergeCell ref="E32:F32"/>
    <mergeCell ref="G32:H32"/>
    <mergeCell ref="I32:J32"/>
    <mergeCell ref="C26:D26"/>
    <mergeCell ref="I26:J26"/>
    <mergeCell ref="E20:F20"/>
    <mergeCell ref="G20:H20"/>
    <mergeCell ref="D43:J43"/>
    <mergeCell ref="G14:H14"/>
    <mergeCell ref="G16:H16"/>
    <mergeCell ref="I14:J14"/>
    <mergeCell ref="I16:J16"/>
    <mergeCell ref="C14:D14"/>
    <mergeCell ref="C16:D16"/>
    <mergeCell ref="E16:F16"/>
    <mergeCell ref="Q14:Q16"/>
    <mergeCell ref="K14:L14"/>
    <mergeCell ref="I22:J22"/>
    <mergeCell ref="K31:L31"/>
    <mergeCell ref="K32:L32"/>
    <mergeCell ref="M26:N26"/>
    <mergeCell ref="O19:P19"/>
    <mergeCell ref="O20:P20"/>
    <mergeCell ref="O22:P22"/>
    <mergeCell ref="O25:P25"/>
    <mergeCell ref="O26:P26"/>
    <mergeCell ref="O28:P28"/>
    <mergeCell ref="K33:L33"/>
    <mergeCell ref="K34:L34"/>
    <mergeCell ref="M34:N34"/>
    <mergeCell ref="O31:P31"/>
    <mergeCell ref="M2:Q2"/>
    <mergeCell ref="C3:Q3"/>
    <mergeCell ref="C4:Q4"/>
    <mergeCell ref="M5:Q6"/>
    <mergeCell ref="M7:Q7"/>
    <mergeCell ref="K23:L23"/>
    <mergeCell ref="K25:L25"/>
    <mergeCell ref="O9:P9"/>
    <mergeCell ref="O11:P11"/>
    <mergeCell ref="O14:P14"/>
    <mergeCell ref="O16:P16"/>
    <mergeCell ref="M14:N14"/>
    <mergeCell ref="M16:N16"/>
    <mergeCell ref="M17:N17"/>
    <mergeCell ref="M19:N19"/>
    <mergeCell ref="O17:P17"/>
    <mergeCell ref="K19:L19"/>
    <mergeCell ref="E14:F14"/>
    <mergeCell ref="K16:L16"/>
    <mergeCell ref="Q9:Q10"/>
    <mergeCell ref="C11:D11"/>
    <mergeCell ref="E11:F11"/>
    <mergeCell ref="Q11:Q13"/>
    <mergeCell ref="C13:D13"/>
    <mergeCell ref="O33:P33"/>
    <mergeCell ref="O32:P32"/>
    <mergeCell ref="O34:P34"/>
    <mergeCell ref="M32:N32"/>
    <mergeCell ref="M33:N33"/>
    <mergeCell ref="A14:A16"/>
    <mergeCell ref="B14:B16"/>
    <mergeCell ref="G11:H11"/>
    <mergeCell ref="I11:J11"/>
    <mergeCell ref="I13:J13"/>
    <mergeCell ref="E17:F17"/>
    <mergeCell ref="G17:H17"/>
    <mergeCell ref="E19:F19"/>
    <mergeCell ref="G19:H19"/>
    <mergeCell ref="A11:A13"/>
    <mergeCell ref="B11:B13"/>
    <mergeCell ref="E13:F13"/>
    <mergeCell ref="G13:H13"/>
    <mergeCell ref="O13:P13"/>
    <mergeCell ref="B20:B22"/>
    <mergeCell ref="A17:A19"/>
    <mergeCell ref="B17:B19"/>
    <mergeCell ref="C19:D19"/>
    <mergeCell ref="C17:D17"/>
  </mergeCells>
  <printOptions/>
  <pageMargins left="0.7" right="0.7" top="0.75" bottom="0.75" header="0.3" footer="0.3"/>
  <pageSetup fitToHeight="0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N433"/>
  <sheetViews>
    <sheetView view="pageBreakPreview" zoomScale="85" zoomScaleSheetLayoutView="85" workbookViewId="0" topLeftCell="A46">
      <selection activeCell="O30" sqref="O30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20.7109375" style="0" customWidth="1"/>
    <col min="4" max="5" width="10.7109375" style="0" customWidth="1"/>
    <col min="6" max="6" width="20.7109375" style="0" customWidth="1"/>
    <col min="7" max="7" width="9.57421875" style="0" customWidth="1"/>
    <col min="8" max="8" width="15.00390625" style="0" customWidth="1"/>
    <col min="9" max="9" width="15.00390625" style="7" customWidth="1"/>
    <col min="10" max="10" width="15.7109375" style="0" customWidth="1"/>
    <col min="12" max="12" width="10.421875" style="0" bestFit="1" customWidth="1"/>
    <col min="13" max="13" width="12.00390625" style="0" bestFit="1" customWidth="1"/>
    <col min="14" max="14" width="10.8515625" style="0" bestFit="1" customWidth="1"/>
  </cols>
  <sheetData>
    <row r="1" spans="1:10" s="2" customFormat="1" ht="58.5" customHeight="1">
      <c r="A1" s="370"/>
      <c r="B1" s="371"/>
      <c r="C1" s="375" t="s">
        <v>371</v>
      </c>
      <c r="D1" s="371"/>
      <c r="E1" s="371"/>
      <c r="F1" s="371"/>
      <c r="G1" s="371"/>
      <c r="H1" s="371"/>
      <c r="I1" s="371"/>
      <c r="J1" s="372"/>
    </row>
    <row r="2" spans="1:10" s="28" customFormat="1" ht="15">
      <c r="A2" s="895" t="s">
        <v>57</v>
      </c>
      <c r="B2" s="1048"/>
      <c r="C2" s="354" t="str">
        <f>'ORÇAMENTO NÃO DESONERADO'!B2</f>
        <v>PREFEITURA MUNICIPAL DE OURÉM</v>
      </c>
      <c r="D2" s="355"/>
      <c r="E2" s="355"/>
      <c r="F2" s="356"/>
      <c r="G2" s="1049" t="s">
        <v>95</v>
      </c>
      <c r="H2" s="901"/>
      <c r="I2" s="1050" t="s">
        <v>223</v>
      </c>
      <c r="J2" s="1050"/>
    </row>
    <row r="3" spans="1:10" s="28" customFormat="1" ht="15">
      <c r="A3" s="895" t="s">
        <v>58</v>
      </c>
      <c r="B3" s="895"/>
      <c r="C3" s="1051" t="str">
        <f>'ORÇAMENTO NÃO DESONERADO'!B3</f>
        <v>CONSTRUÇÃO DE TERMINAL RODOVIÁRIO ETAPA-02</v>
      </c>
      <c r="D3" s="1051"/>
      <c r="E3" s="1051"/>
      <c r="F3" s="1051"/>
      <c r="G3" s="896"/>
      <c r="H3" s="896"/>
      <c r="I3" s="896"/>
      <c r="J3" s="896"/>
    </row>
    <row r="4" spans="1:10" s="28" customFormat="1" ht="15">
      <c r="A4" s="1042" t="s">
        <v>59</v>
      </c>
      <c r="B4" s="1042"/>
      <c r="C4" s="1043" t="str">
        <f>'ORÇAMENTO NÃO DESONERADO'!B4</f>
        <v>RUA JOAQUIM DIONISIO COM RUA PERSEVERANDO S/N. PRAÇA DO TERMINAL OURÉM/PA</v>
      </c>
      <c r="D4" s="1044"/>
      <c r="E4" s="1044"/>
      <c r="F4" s="1043"/>
      <c r="G4" s="1043"/>
      <c r="H4" s="1043"/>
      <c r="I4" s="1043"/>
      <c r="J4" s="1043"/>
    </row>
    <row r="5" spans="1:10" s="28" customFormat="1" ht="15">
      <c r="A5" s="351" t="s">
        <v>60</v>
      </c>
      <c r="B5" s="352"/>
      <c r="C5" s="353">
        <f>'ORÇAMENTO NÃO DESONERADO'!B5</f>
        <v>0.25</v>
      </c>
      <c r="D5" s="348"/>
      <c r="E5" s="348"/>
      <c r="F5" s="350"/>
      <c r="G5" s="901" t="s">
        <v>36</v>
      </c>
      <c r="H5" s="901"/>
      <c r="I5" s="1045" t="str">
        <f>'ORÇAMENTO NÃO DESONERADO'!F6</f>
        <v>SINAPI - JULHO DE 2020</v>
      </c>
      <c r="J5" s="1045"/>
    </row>
    <row r="6" spans="1:10" s="28" customFormat="1" ht="14.25">
      <c r="A6" s="1046" t="s">
        <v>96</v>
      </c>
      <c r="B6" s="1046"/>
      <c r="C6" s="882" t="str">
        <f>'ORÇAMENTO NÃO DESONERADO'!B6</f>
        <v xml:space="preserve"> MARUZA BAPTISTA </v>
      </c>
      <c r="D6" s="982"/>
      <c r="E6" s="982"/>
      <c r="F6" s="882"/>
      <c r="G6" s="901"/>
      <c r="H6" s="901"/>
      <c r="I6" s="1045"/>
      <c r="J6" s="1045"/>
    </row>
    <row r="7" spans="1:11" s="28" customFormat="1" ht="14.25">
      <c r="A7" s="880"/>
      <c r="B7" s="880"/>
      <c r="C7" s="882"/>
      <c r="D7" s="882"/>
      <c r="E7" s="882"/>
      <c r="F7" s="882"/>
      <c r="G7" s="983" t="s">
        <v>98</v>
      </c>
      <c r="H7" s="983"/>
      <c r="I7" s="1047" t="s">
        <v>99</v>
      </c>
      <c r="J7" s="1047"/>
      <c r="K7" s="845">
        <f>'ORÇAMENTO NÃO DESONERADO'!K7</f>
        <v>0.9234</v>
      </c>
    </row>
    <row r="8" spans="1:10" s="28" customFormat="1" ht="14.25">
      <c r="A8" s="880"/>
      <c r="B8" s="880"/>
      <c r="C8" s="882"/>
      <c r="D8" s="882"/>
      <c r="E8" s="882"/>
      <c r="F8" s="882"/>
      <c r="G8" s="983"/>
      <c r="H8" s="983"/>
      <c r="I8" s="1047"/>
      <c r="J8" s="1047"/>
    </row>
    <row r="9" spans="1:9" s="24" customFormat="1" ht="14.25">
      <c r="A9" s="40"/>
      <c r="B9" s="14"/>
      <c r="C9" s="14"/>
      <c r="D9" s="14"/>
      <c r="E9" s="14"/>
      <c r="I9" s="26"/>
    </row>
    <row r="10" spans="1:10" s="24" customFormat="1" ht="15.75">
      <c r="A10" s="232" t="s">
        <v>90</v>
      </c>
      <c r="B10" s="451"/>
      <c r="C10" s="451"/>
      <c r="D10" s="451"/>
      <c r="E10" s="451"/>
      <c r="F10" s="451"/>
      <c r="G10" s="451"/>
      <c r="H10" s="451"/>
      <c r="I10" s="451"/>
      <c r="J10" s="452"/>
    </row>
    <row r="11" spans="1:10" s="24" customFormat="1" ht="15.75">
      <c r="A11" s="232" t="str">
        <f>'ORÇAMENTO NÃO DESONERADO'!C11</f>
        <v>ADMINISTRAÇÃO LOCAL (ENGENHEIRO CIVIL E ENCARREGADO)</v>
      </c>
      <c r="B11" s="451"/>
      <c r="C11" s="451"/>
      <c r="D11" s="451"/>
      <c r="E11" s="451"/>
      <c r="F11" s="451"/>
      <c r="G11" s="451"/>
      <c r="H11" s="451"/>
      <c r="I11" s="452"/>
      <c r="J11" s="177" t="s">
        <v>72</v>
      </c>
    </row>
    <row r="12" spans="1:10" s="24" customFormat="1" ht="30">
      <c r="A12" s="178" t="s">
        <v>78</v>
      </c>
      <c r="B12" s="179" t="s">
        <v>79</v>
      </c>
      <c r="C12" s="1033" t="s">
        <v>13</v>
      </c>
      <c r="D12" s="1034"/>
      <c r="E12" s="1034"/>
      <c r="F12" s="1035"/>
      <c r="G12" s="178" t="s">
        <v>91</v>
      </c>
      <c r="H12" s="180" t="s">
        <v>80</v>
      </c>
      <c r="I12" s="181" t="s">
        <v>81</v>
      </c>
      <c r="J12" s="181" t="s">
        <v>82</v>
      </c>
    </row>
    <row r="13" spans="1:10" s="24" customFormat="1" ht="14.25">
      <c r="A13" s="185" t="s">
        <v>83</v>
      </c>
      <c r="B13" s="186">
        <v>90777</v>
      </c>
      <c r="C13" s="1036" t="s">
        <v>402</v>
      </c>
      <c r="D13" s="1037"/>
      <c r="E13" s="1037"/>
      <c r="F13" s="1038"/>
      <c r="G13" s="187" t="s">
        <v>88</v>
      </c>
      <c r="H13" s="455">
        <f>'ADM.-1.-2'!I15</f>
        <v>30</v>
      </c>
      <c r="I13" s="472">
        <f>$K$7*88.37</f>
        <v>81.600858</v>
      </c>
      <c r="J13" s="188">
        <f>ROUND(H13*I13,2)</f>
        <v>2448.03</v>
      </c>
    </row>
    <row r="14" spans="1:10" s="24" customFormat="1" ht="14.25">
      <c r="A14" s="185" t="s">
        <v>83</v>
      </c>
      <c r="B14" s="186">
        <v>90776</v>
      </c>
      <c r="C14" s="1039" t="s">
        <v>403</v>
      </c>
      <c r="D14" s="1040"/>
      <c r="E14" s="1040"/>
      <c r="F14" s="1041"/>
      <c r="G14" s="187" t="s">
        <v>88</v>
      </c>
      <c r="H14" s="455">
        <f>'ADM.-1.-2'!I20</f>
        <v>440</v>
      </c>
      <c r="I14" s="472">
        <f>$K$7*18.19</f>
        <v>16.796646000000003</v>
      </c>
      <c r="J14" s="188">
        <f>ROUND(H14*I14,2)</f>
        <v>7390.52</v>
      </c>
    </row>
    <row r="15" spans="1:10" s="24" customFormat="1" ht="15">
      <c r="A15" s="218"/>
      <c r="B15" s="219"/>
      <c r="C15" s="219"/>
      <c r="D15" s="219"/>
      <c r="E15" s="219"/>
      <c r="F15" s="219"/>
      <c r="G15" s="219"/>
      <c r="H15" s="219"/>
      <c r="I15" s="220" t="s">
        <v>92</v>
      </c>
      <c r="J15" s="224">
        <f>ROUND(SUM(J13:J14),2)</f>
        <v>9838.55</v>
      </c>
    </row>
    <row r="16" spans="1:10" s="157" customFormat="1" ht="15">
      <c r="A16" s="443"/>
      <c r="B16" s="444"/>
      <c r="C16" s="444"/>
      <c r="D16" s="444"/>
      <c r="E16" s="444"/>
      <c r="F16" s="444"/>
      <c r="G16" s="444"/>
      <c r="H16" s="444"/>
      <c r="I16" s="444"/>
      <c r="J16" s="445"/>
    </row>
    <row r="17" spans="1:10" s="157" customFormat="1" ht="15.75">
      <c r="A17" s="232" t="s">
        <v>205</v>
      </c>
      <c r="B17" s="451"/>
      <c r="C17" s="451"/>
      <c r="D17" s="451"/>
      <c r="E17" s="451"/>
      <c r="F17" s="451"/>
      <c r="G17" s="451"/>
      <c r="H17" s="451"/>
      <c r="I17" s="451"/>
      <c r="J17" s="452"/>
    </row>
    <row r="18" spans="1:10" s="157" customFormat="1" ht="15.75">
      <c r="A18" s="232" t="str">
        <f>'ORÇAMENTO NÃO DESONERADO'!C15</f>
        <v>PLACA DE OBRA EM CHAPA DE ACO GALVANIZADO</v>
      </c>
      <c r="B18" s="451"/>
      <c r="C18" s="451"/>
      <c r="D18" s="451"/>
      <c r="E18" s="451"/>
      <c r="F18" s="451"/>
      <c r="G18" s="451"/>
      <c r="H18" s="451"/>
      <c r="I18" s="452"/>
      <c r="J18" s="177" t="s">
        <v>72</v>
      </c>
    </row>
    <row r="19" spans="1:10" s="157" customFormat="1" ht="30">
      <c r="A19" s="178" t="s">
        <v>78</v>
      </c>
      <c r="B19" s="179" t="s">
        <v>79</v>
      </c>
      <c r="C19" s="1033" t="s">
        <v>13</v>
      </c>
      <c r="D19" s="1034"/>
      <c r="E19" s="1034"/>
      <c r="F19" s="1035"/>
      <c r="G19" s="178" t="s">
        <v>91</v>
      </c>
      <c r="H19" s="180" t="s">
        <v>80</v>
      </c>
      <c r="I19" s="181" t="s">
        <v>81</v>
      </c>
      <c r="J19" s="181" t="s">
        <v>82</v>
      </c>
    </row>
    <row r="20" spans="1:10" s="157" customFormat="1" ht="14.25">
      <c r="A20" s="185" t="s">
        <v>249</v>
      </c>
      <c r="B20" s="189">
        <v>4417</v>
      </c>
      <c r="C20" s="1036" t="s">
        <v>407</v>
      </c>
      <c r="D20" s="1037"/>
      <c r="E20" s="1037"/>
      <c r="F20" s="1038"/>
      <c r="G20" s="187" t="s">
        <v>247</v>
      </c>
      <c r="H20" s="455">
        <v>1</v>
      </c>
      <c r="I20" s="472">
        <f>$K$7*4.53</f>
        <v>4.183002</v>
      </c>
      <c r="J20" s="188">
        <f>ROUND(H20*I20,2)</f>
        <v>4.18</v>
      </c>
    </row>
    <row r="21" spans="1:10" s="157" customFormat="1" ht="14.25">
      <c r="A21" s="185" t="s">
        <v>249</v>
      </c>
      <c r="B21" s="189">
        <v>4491</v>
      </c>
      <c r="C21" s="1036" t="s">
        <v>408</v>
      </c>
      <c r="D21" s="1037"/>
      <c r="E21" s="1037"/>
      <c r="F21" s="1038"/>
      <c r="G21" s="187" t="s">
        <v>247</v>
      </c>
      <c r="H21" s="455">
        <v>4</v>
      </c>
      <c r="I21" s="472">
        <f>$K$7*5.15</f>
        <v>4.75551</v>
      </c>
      <c r="J21" s="188">
        <f>ROUND(H21*I21,2)</f>
        <v>19.02</v>
      </c>
    </row>
    <row r="22" spans="1:10" s="157" customFormat="1" ht="14.25">
      <c r="A22" s="187" t="s">
        <v>249</v>
      </c>
      <c r="B22" s="187" t="s">
        <v>405</v>
      </c>
      <c r="C22" s="1036" t="s">
        <v>409</v>
      </c>
      <c r="D22" s="1037"/>
      <c r="E22" s="1037"/>
      <c r="F22" s="1038"/>
      <c r="G22" s="187" t="s">
        <v>239</v>
      </c>
      <c r="H22" s="455">
        <v>1</v>
      </c>
      <c r="I22" s="472">
        <f>$K$7*300</f>
        <v>277.02</v>
      </c>
      <c r="J22" s="188">
        <f aca="true" t="shared" si="0" ref="J22:J26">ROUND(H22*I22,2)</f>
        <v>277.02</v>
      </c>
    </row>
    <row r="23" spans="1:10" s="157" customFormat="1" ht="14.25">
      <c r="A23" s="461" t="s">
        <v>249</v>
      </c>
      <c r="B23" s="461" t="s">
        <v>406</v>
      </c>
      <c r="C23" s="1036" t="s">
        <v>410</v>
      </c>
      <c r="D23" s="1037"/>
      <c r="E23" s="1037"/>
      <c r="F23" s="1038"/>
      <c r="G23" s="187" t="s">
        <v>64</v>
      </c>
      <c r="H23" s="455">
        <v>0.11</v>
      </c>
      <c r="I23" s="472">
        <f>$K$7*9.56</f>
        <v>8.827704</v>
      </c>
      <c r="J23" s="188">
        <f t="shared" si="0"/>
        <v>0.97</v>
      </c>
    </row>
    <row r="24" spans="1:10" s="157" customFormat="1" ht="14.25">
      <c r="A24" s="461" t="s">
        <v>83</v>
      </c>
      <c r="B24" s="473">
        <v>88262</v>
      </c>
      <c r="C24" s="1036" t="s">
        <v>411</v>
      </c>
      <c r="D24" s="1037"/>
      <c r="E24" s="1037"/>
      <c r="F24" s="1038"/>
      <c r="G24" s="187" t="s">
        <v>88</v>
      </c>
      <c r="H24" s="455">
        <v>1</v>
      </c>
      <c r="I24" s="472">
        <f>$K$7*19.94</f>
        <v>18.412596</v>
      </c>
      <c r="J24" s="188">
        <f t="shared" si="0"/>
        <v>18.41</v>
      </c>
    </row>
    <row r="25" spans="1:10" s="157" customFormat="1" ht="14.25">
      <c r="A25" s="461" t="s">
        <v>83</v>
      </c>
      <c r="B25" s="473">
        <v>88316</v>
      </c>
      <c r="C25" s="1036" t="s">
        <v>89</v>
      </c>
      <c r="D25" s="1037"/>
      <c r="E25" s="1037"/>
      <c r="F25" s="1038"/>
      <c r="G25" s="187" t="s">
        <v>88</v>
      </c>
      <c r="H25" s="455">
        <v>2</v>
      </c>
      <c r="I25" s="472">
        <f>$K$7*15.84</f>
        <v>14.626656</v>
      </c>
      <c r="J25" s="188">
        <f t="shared" si="0"/>
        <v>29.25</v>
      </c>
    </row>
    <row r="26" spans="1:10" s="157" customFormat="1" ht="14.25">
      <c r="A26" s="461" t="s">
        <v>83</v>
      </c>
      <c r="B26" s="473">
        <v>94962</v>
      </c>
      <c r="C26" s="1036" t="s">
        <v>412</v>
      </c>
      <c r="D26" s="1037"/>
      <c r="E26" s="1037"/>
      <c r="F26" s="1038"/>
      <c r="G26" s="187" t="s">
        <v>226</v>
      </c>
      <c r="H26" s="455">
        <v>0.01</v>
      </c>
      <c r="I26" s="472">
        <f>$K$7*318.96</f>
        <v>294.52766399999996</v>
      </c>
      <c r="J26" s="188">
        <f t="shared" si="0"/>
        <v>2.95</v>
      </c>
    </row>
    <row r="27" spans="1:10" s="157" customFormat="1" ht="15">
      <c r="A27" s="218"/>
      <c r="B27" s="219"/>
      <c r="C27" s="219"/>
      <c r="D27" s="219"/>
      <c r="E27" s="219"/>
      <c r="F27" s="219"/>
      <c r="G27" s="219"/>
      <c r="H27" s="219"/>
      <c r="I27" s="220" t="s">
        <v>92</v>
      </c>
      <c r="J27" s="224">
        <f>ROUND(SUM(J20:J26),2)</f>
        <v>351.8</v>
      </c>
    </row>
    <row r="28" spans="1:10" s="157" customFormat="1" ht="15">
      <c r="A28" s="443"/>
      <c r="B28" s="444"/>
      <c r="C28" s="444"/>
      <c r="D28" s="444"/>
      <c r="E28" s="444"/>
      <c r="F28" s="444"/>
      <c r="G28" s="444"/>
      <c r="H28" s="444"/>
      <c r="I28" s="444"/>
      <c r="J28" s="445"/>
    </row>
    <row r="29" spans="1:10" s="24" customFormat="1" ht="15.75">
      <c r="A29" s="232" t="s">
        <v>102</v>
      </c>
      <c r="B29" s="451"/>
      <c r="C29" s="451"/>
      <c r="D29" s="451"/>
      <c r="E29" s="451"/>
      <c r="F29" s="451"/>
      <c r="G29" s="451"/>
      <c r="H29" s="451"/>
      <c r="I29" s="451"/>
      <c r="J29" s="452"/>
    </row>
    <row r="30" spans="1:10" s="24" customFormat="1" ht="15.75">
      <c r="A30" s="233" t="s">
        <v>76</v>
      </c>
      <c r="B30" s="234"/>
      <c r="C30" s="234"/>
      <c r="D30" s="234"/>
      <c r="E30" s="234"/>
      <c r="F30" s="234"/>
      <c r="G30" s="234"/>
      <c r="H30" s="234"/>
      <c r="I30" s="235"/>
      <c r="J30" s="177" t="s">
        <v>77</v>
      </c>
    </row>
    <row r="31" spans="1:10" s="24" customFormat="1" ht="30">
      <c r="A31" s="178" t="s">
        <v>78</v>
      </c>
      <c r="B31" s="179" t="s">
        <v>79</v>
      </c>
      <c r="C31" s="1033" t="s">
        <v>13</v>
      </c>
      <c r="D31" s="1034"/>
      <c r="E31" s="1034"/>
      <c r="F31" s="1035"/>
      <c r="G31" s="178" t="s">
        <v>91</v>
      </c>
      <c r="H31" s="180" t="s">
        <v>80</v>
      </c>
      <c r="I31" s="181" t="s">
        <v>81</v>
      </c>
      <c r="J31" s="181" t="s">
        <v>82</v>
      </c>
    </row>
    <row r="32" spans="1:10" s="24" customFormat="1" ht="28.5">
      <c r="A32" s="489" t="s">
        <v>135</v>
      </c>
      <c r="B32" s="490">
        <v>38135</v>
      </c>
      <c r="C32" s="1030" t="s">
        <v>84</v>
      </c>
      <c r="D32" s="1030"/>
      <c r="E32" s="1030"/>
      <c r="F32" s="1030"/>
      <c r="G32" s="461" t="s">
        <v>77</v>
      </c>
      <c r="H32" s="455">
        <v>1.02</v>
      </c>
      <c r="I32" s="472">
        <f>$K$7*56.83</f>
        <v>52.476822</v>
      </c>
      <c r="J32" s="472">
        <f>ROUND(H32*I32,2)</f>
        <v>53.53</v>
      </c>
    </row>
    <row r="33" spans="1:10" s="24" customFormat="1" ht="28.5">
      <c r="A33" s="489" t="s">
        <v>135</v>
      </c>
      <c r="B33" s="490">
        <v>370</v>
      </c>
      <c r="C33" s="1031" t="s">
        <v>85</v>
      </c>
      <c r="D33" s="1031"/>
      <c r="E33" s="1031"/>
      <c r="F33" s="1031"/>
      <c r="G33" s="461" t="s">
        <v>75</v>
      </c>
      <c r="H33" s="491">
        <v>0.01</v>
      </c>
      <c r="I33" s="472">
        <f>$K$7*59</f>
        <v>54.4806</v>
      </c>
      <c r="J33" s="472">
        <f>ROUND(H33*I33,2)</f>
        <v>0.54</v>
      </c>
    </row>
    <row r="34" spans="1:10" s="24" customFormat="1" ht="28.5">
      <c r="A34" s="489" t="s">
        <v>135</v>
      </c>
      <c r="B34" s="490">
        <v>1379</v>
      </c>
      <c r="C34" s="1030" t="s">
        <v>86</v>
      </c>
      <c r="D34" s="1030"/>
      <c r="E34" s="1030"/>
      <c r="F34" s="1030"/>
      <c r="G34" s="461" t="s">
        <v>64</v>
      </c>
      <c r="H34" s="491">
        <v>0.15</v>
      </c>
      <c r="I34" s="472">
        <f>$K$7*0.79</f>
        <v>0.7294860000000001</v>
      </c>
      <c r="J34" s="472">
        <f>ROUND(H34*I34,2)</f>
        <v>0.11</v>
      </c>
    </row>
    <row r="35" spans="1:10" s="24" customFormat="1" ht="42.75">
      <c r="A35" s="489" t="s">
        <v>136</v>
      </c>
      <c r="B35" s="492">
        <v>88309</v>
      </c>
      <c r="C35" s="1030" t="s">
        <v>87</v>
      </c>
      <c r="D35" s="1030"/>
      <c r="E35" s="1030"/>
      <c r="F35" s="1030"/>
      <c r="G35" s="461" t="s">
        <v>88</v>
      </c>
      <c r="H35" s="455">
        <v>0.6</v>
      </c>
      <c r="I35" s="472">
        <f>$K$7*20.08</f>
        <v>18.541871999999998</v>
      </c>
      <c r="J35" s="472">
        <f>ROUND(H35*I35,2)</f>
        <v>11.13</v>
      </c>
    </row>
    <row r="36" spans="1:10" s="24" customFormat="1" ht="42.75">
      <c r="A36" s="493" t="s">
        <v>136</v>
      </c>
      <c r="B36" s="494">
        <v>88316</v>
      </c>
      <c r="C36" s="1032" t="s">
        <v>89</v>
      </c>
      <c r="D36" s="1032"/>
      <c r="E36" s="1032"/>
      <c r="F36" s="1032"/>
      <c r="G36" s="495" t="s">
        <v>88</v>
      </c>
      <c r="H36" s="496">
        <v>0.5</v>
      </c>
      <c r="I36" s="497">
        <f>$K$7*15.84</f>
        <v>14.626656</v>
      </c>
      <c r="J36" s="472">
        <f>ROUND(H36*I36,2)</f>
        <v>7.31</v>
      </c>
    </row>
    <row r="37" spans="1:10" s="24" customFormat="1" ht="15">
      <c r="A37" s="443"/>
      <c r="B37" s="444"/>
      <c r="C37" s="444"/>
      <c r="D37" s="444"/>
      <c r="E37" s="444"/>
      <c r="F37" s="444"/>
      <c r="G37" s="444"/>
      <c r="H37" s="444"/>
      <c r="I37" s="498" t="s">
        <v>92</v>
      </c>
      <c r="J37" s="445">
        <f>ROUND(SUM(J32:J36),2)</f>
        <v>72.62</v>
      </c>
    </row>
    <row r="38" spans="1:10" s="24" customFormat="1" ht="14.25">
      <c r="A38" s="92"/>
      <c r="B38" s="92"/>
      <c r="C38" s="92"/>
      <c r="D38" s="92"/>
      <c r="E38" s="92"/>
      <c r="F38" s="92"/>
      <c r="G38" s="92"/>
      <c r="H38" s="92"/>
      <c r="I38" s="93"/>
      <c r="J38" s="92"/>
    </row>
    <row r="39" spans="1:10" s="24" customFormat="1" ht="15.75">
      <c r="A39" s="232" t="s">
        <v>253</v>
      </c>
      <c r="B39" s="451"/>
      <c r="C39" s="451"/>
      <c r="D39" s="451"/>
      <c r="E39" s="451"/>
      <c r="F39" s="451"/>
      <c r="G39" s="451"/>
      <c r="H39" s="451"/>
      <c r="I39" s="451"/>
      <c r="J39" s="452"/>
    </row>
    <row r="40" spans="1:10" s="24" customFormat="1" ht="15.75">
      <c r="A40" s="233" t="s">
        <v>434</v>
      </c>
      <c r="B40" s="234"/>
      <c r="C40" s="234"/>
      <c r="D40" s="234"/>
      <c r="E40" s="234"/>
      <c r="F40" s="234"/>
      <c r="G40" s="234"/>
      <c r="H40" s="234"/>
      <c r="I40" s="235"/>
      <c r="J40" s="177" t="s">
        <v>91</v>
      </c>
    </row>
    <row r="41" spans="1:10" s="24" customFormat="1" ht="30">
      <c r="A41" s="178" t="s">
        <v>78</v>
      </c>
      <c r="B41" s="179" t="s">
        <v>79</v>
      </c>
      <c r="C41" s="1033" t="s">
        <v>13</v>
      </c>
      <c r="D41" s="1034"/>
      <c r="E41" s="1034"/>
      <c r="F41" s="1035"/>
      <c r="G41" s="178" t="s">
        <v>91</v>
      </c>
      <c r="H41" s="180" t="s">
        <v>80</v>
      </c>
      <c r="I41" s="181" t="s">
        <v>81</v>
      </c>
      <c r="J41" s="181" t="s">
        <v>82</v>
      </c>
    </row>
    <row r="42" spans="1:10" s="24" customFormat="1" ht="15">
      <c r="A42" s="489"/>
      <c r="B42" s="499"/>
      <c r="C42" s="585" t="s">
        <v>432</v>
      </c>
      <c r="D42" s="508"/>
      <c r="E42" s="508"/>
      <c r="F42" s="509"/>
      <c r="G42" s="500"/>
      <c r="H42" s="501"/>
      <c r="I42" s="502"/>
      <c r="J42" s="472"/>
    </row>
    <row r="43" spans="1:10" s="24" customFormat="1" ht="35.45" customHeight="1">
      <c r="A43" s="698" t="s">
        <v>520</v>
      </c>
      <c r="B43" s="499">
        <v>93358</v>
      </c>
      <c r="C43" s="1024" t="s">
        <v>163</v>
      </c>
      <c r="D43" s="1025"/>
      <c r="E43" s="1025"/>
      <c r="F43" s="1026"/>
      <c r="G43" s="500" t="s">
        <v>226</v>
      </c>
      <c r="H43" s="501">
        <f>(0.2+0.1)*(0.35+0.1)*(0.3+0.05)*1</f>
        <v>0.04725</v>
      </c>
      <c r="I43" s="502">
        <f>$K$7*62.66</f>
        <v>57.860243999999994</v>
      </c>
      <c r="J43" s="472">
        <f aca="true" t="shared" si="1" ref="J43:J51">ROUND(H43*I43,2)</f>
        <v>2.73</v>
      </c>
    </row>
    <row r="44" spans="1:10" s="24" customFormat="1" ht="43.9" customHeight="1">
      <c r="A44" s="698" t="s">
        <v>520</v>
      </c>
      <c r="B44" s="499">
        <v>96619</v>
      </c>
      <c r="C44" s="1024" t="s">
        <v>167</v>
      </c>
      <c r="D44" s="1025"/>
      <c r="E44" s="1025"/>
      <c r="F44" s="1026"/>
      <c r="G44" s="500" t="s">
        <v>63</v>
      </c>
      <c r="H44" s="501">
        <f>(0.2+0.1)*(0.35+0.1)*1</f>
        <v>0.135</v>
      </c>
      <c r="I44" s="502">
        <f>$K$7*25.46</f>
        <v>23.509764</v>
      </c>
      <c r="J44" s="472">
        <f t="shared" si="1"/>
        <v>3.17</v>
      </c>
    </row>
    <row r="45" spans="1:10" s="24" customFormat="1" ht="40.9" customHeight="1">
      <c r="A45" s="698" t="s">
        <v>520</v>
      </c>
      <c r="B45" s="499">
        <v>96535</v>
      </c>
      <c r="C45" s="1024" t="s">
        <v>105</v>
      </c>
      <c r="D45" s="1025"/>
      <c r="E45" s="1025"/>
      <c r="F45" s="1026"/>
      <c r="G45" s="500" t="s">
        <v>63</v>
      </c>
      <c r="H45" s="501">
        <v>0.33</v>
      </c>
      <c r="I45" s="502">
        <f>$K$7*102.17</f>
        <v>94.343778</v>
      </c>
      <c r="J45" s="472">
        <f t="shared" si="1"/>
        <v>31.13</v>
      </c>
    </row>
    <row r="46" spans="1:10" s="24" customFormat="1" ht="30" customHeight="1">
      <c r="A46" s="698" t="s">
        <v>520</v>
      </c>
      <c r="B46" s="499">
        <v>73361</v>
      </c>
      <c r="C46" s="1024" t="s">
        <v>61</v>
      </c>
      <c r="D46" s="1025"/>
      <c r="E46" s="1025"/>
      <c r="F46" s="1026"/>
      <c r="G46" s="500" t="s">
        <v>226</v>
      </c>
      <c r="H46" s="501">
        <v>0.02</v>
      </c>
      <c r="I46" s="502">
        <f>$K$7*415.35</f>
        <v>383.53419</v>
      </c>
      <c r="J46" s="472">
        <f t="shared" si="1"/>
        <v>7.67</v>
      </c>
    </row>
    <row r="47" spans="1:10" s="24" customFormat="1" ht="15">
      <c r="A47" s="489"/>
      <c r="B47" s="499"/>
      <c r="C47" s="585" t="s">
        <v>109</v>
      </c>
      <c r="D47" s="508"/>
      <c r="E47" s="508"/>
      <c r="F47" s="509"/>
      <c r="G47" s="500"/>
      <c r="H47" s="501"/>
      <c r="I47" s="502"/>
      <c r="J47" s="472"/>
    </row>
    <row r="48" spans="1:10" s="24" customFormat="1" ht="44.25" customHeight="1">
      <c r="A48" s="698" t="s">
        <v>520</v>
      </c>
      <c r="B48" s="499">
        <v>92263</v>
      </c>
      <c r="C48" s="1024" t="s">
        <v>74</v>
      </c>
      <c r="D48" s="1025"/>
      <c r="E48" s="1025"/>
      <c r="F48" s="1026"/>
      <c r="G48" s="500" t="s">
        <v>63</v>
      </c>
      <c r="H48" s="501">
        <v>0.46</v>
      </c>
      <c r="I48" s="502">
        <f>$K$7*107.89</f>
        <v>99.625626</v>
      </c>
      <c r="J48" s="472">
        <f t="shared" si="1"/>
        <v>45.83</v>
      </c>
    </row>
    <row r="49" spans="1:10" s="24" customFormat="1" ht="44.25" customHeight="1">
      <c r="A49" s="698" t="s">
        <v>520</v>
      </c>
      <c r="B49" s="499">
        <v>94963</v>
      </c>
      <c r="C49" s="1024" t="s">
        <v>230</v>
      </c>
      <c r="D49" s="1025"/>
      <c r="E49" s="1025"/>
      <c r="F49" s="1026"/>
      <c r="G49" s="500" t="s">
        <v>226</v>
      </c>
      <c r="H49" s="501">
        <v>0.014</v>
      </c>
      <c r="I49" s="502">
        <f>$K$7*365.63</f>
        <v>337.622742</v>
      </c>
      <c r="J49" s="472">
        <f t="shared" si="1"/>
        <v>4.73</v>
      </c>
    </row>
    <row r="50" spans="1:10" s="24" customFormat="1" ht="54" customHeight="1">
      <c r="A50" s="698" t="s">
        <v>520</v>
      </c>
      <c r="B50" s="503">
        <v>92776</v>
      </c>
      <c r="C50" s="1024" t="s">
        <v>231</v>
      </c>
      <c r="D50" s="1025"/>
      <c r="E50" s="1025"/>
      <c r="F50" s="1026"/>
      <c r="G50" s="504" t="s">
        <v>64</v>
      </c>
      <c r="H50" s="505">
        <v>1.06</v>
      </c>
      <c r="I50" s="506">
        <f>$K$7*10.65</f>
        <v>9.83421</v>
      </c>
      <c r="J50" s="472">
        <f aca="true" t="shared" si="2" ref="J50">ROUND(H50*I50,2)</f>
        <v>10.42</v>
      </c>
    </row>
    <row r="51" spans="1:10" s="24" customFormat="1" ht="57" customHeight="1">
      <c r="A51" s="698" t="s">
        <v>520</v>
      </c>
      <c r="B51" s="499">
        <v>92775</v>
      </c>
      <c r="C51" s="1024" t="s">
        <v>195</v>
      </c>
      <c r="D51" s="1025"/>
      <c r="E51" s="1025"/>
      <c r="F51" s="1026"/>
      <c r="G51" s="500" t="s">
        <v>64</v>
      </c>
      <c r="H51" s="501">
        <v>0.37</v>
      </c>
      <c r="I51" s="502">
        <f>$K$7*12.08</f>
        <v>11.154672</v>
      </c>
      <c r="J51" s="472">
        <f t="shared" si="1"/>
        <v>4.13</v>
      </c>
    </row>
    <row r="52" spans="1:10" s="24" customFormat="1" ht="15">
      <c r="A52" s="489"/>
      <c r="B52" s="499"/>
      <c r="C52" s="586" t="s">
        <v>433</v>
      </c>
      <c r="D52" s="508"/>
      <c r="E52" s="508"/>
      <c r="F52" s="509"/>
      <c r="G52" s="500"/>
      <c r="H52" s="501"/>
      <c r="I52" s="502"/>
      <c r="J52" s="472"/>
    </row>
    <row r="53" spans="1:10" s="24" customFormat="1" ht="28.5">
      <c r="A53" s="698" t="s">
        <v>520</v>
      </c>
      <c r="B53" s="499">
        <v>92338</v>
      </c>
      <c r="C53" s="1024" t="s">
        <v>112</v>
      </c>
      <c r="D53" s="1025"/>
      <c r="E53" s="1025"/>
      <c r="F53" s="1026"/>
      <c r="G53" s="500" t="s">
        <v>69</v>
      </c>
      <c r="H53" s="501">
        <v>0.3</v>
      </c>
      <c r="I53" s="502">
        <f>$K$7*75.06</f>
        <v>69.310404</v>
      </c>
      <c r="J53" s="472">
        <f>ROUND(H53*I53,2)</f>
        <v>20.79</v>
      </c>
    </row>
    <row r="54" spans="1:10" s="24" customFormat="1" ht="28.5">
      <c r="A54" s="489" t="s">
        <v>135</v>
      </c>
      <c r="B54" s="499">
        <v>430</v>
      </c>
      <c r="C54" s="1024" t="s">
        <v>113</v>
      </c>
      <c r="D54" s="1025"/>
      <c r="E54" s="1025"/>
      <c r="F54" s="1026"/>
      <c r="G54" s="500" t="s">
        <v>111</v>
      </c>
      <c r="H54" s="501">
        <v>8</v>
      </c>
      <c r="I54" s="502">
        <f>$K$7*4.82</f>
        <v>4.450788</v>
      </c>
      <c r="J54" s="472">
        <f aca="true" t="shared" si="3" ref="J54:J61">ROUND(H54*I54,2)</f>
        <v>35.61</v>
      </c>
    </row>
    <row r="55" spans="1:10" s="24" customFormat="1" ht="28.5">
      <c r="A55" s="489" t="s">
        <v>135</v>
      </c>
      <c r="B55" s="499">
        <v>11027</v>
      </c>
      <c r="C55" s="1024" t="s">
        <v>114</v>
      </c>
      <c r="D55" s="1025"/>
      <c r="E55" s="1025"/>
      <c r="F55" s="1026"/>
      <c r="G55" s="500" t="s">
        <v>64</v>
      </c>
      <c r="H55" s="501">
        <v>0.15</v>
      </c>
      <c r="I55" s="502">
        <f>$K$7*6.78</f>
        <v>6.260652</v>
      </c>
      <c r="J55" s="472">
        <f t="shared" si="3"/>
        <v>0.94</v>
      </c>
    </row>
    <row r="56" spans="1:10" s="24" customFormat="1" ht="28.5">
      <c r="A56" s="698" t="s">
        <v>520</v>
      </c>
      <c r="B56" s="499">
        <v>88251</v>
      </c>
      <c r="C56" s="1024" t="s">
        <v>104</v>
      </c>
      <c r="D56" s="1025"/>
      <c r="E56" s="1025"/>
      <c r="F56" s="1026"/>
      <c r="G56" s="500" t="s">
        <v>88</v>
      </c>
      <c r="H56" s="501">
        <v>2</v>
      </c>
      <c r="I56" s="502">
        <f>$K$7*16.2</f>
        <v>14.95908</v>
      </c>
      <c r="J56" s="472">
        <f t="shared" si="3"/>
        <v>29.92</v>
      </c>
    </row>
    <row r="57" spans="1:10" s="24" customFormat="1" ht="28.5">
      <c r="A57" s="698" t="s">
        <v>520</v>
      </c>
      <c r="B57" s="499">
        <v>88315</v>
      </c>
      <c r="C57" s="1024" t="s">
        <v>103</v>
      </c>
      <c r="D57" s="1025"/>
      <c r="E57" s="1025"/>
      <c r="F57" s="1026"/>
      <c r="G57" s="500" t="s">
        <v>88</v>
      </c>
      <c r="H57" s="501">
        <v>2</v>
      </c>
      <c r="I57" s="502">
        <f>$K$7*19.98</f>
        <v>18.449532</v>
      </c>
      <c r="J57" s="472">
        <f t="shared" si="3"/>
        <v>36.9</v>
      </c>
    </row>
    <row r="58" spans="1:10" s="24" customFormat="1" ht="28.5">
      <c r="A58" s="489" t="s">
        <v>135</v>
      </c>
      <c r="B58" s="499">
        <v>7164</v>
      </c>
      <c r="C58" s="1024" t="s">
        <v>115</v>
      </c>
      <c r="D58" s="1025"/>
      <c r="E58" s="1025"/>
      <c r="F58" s="1026"/>
      <c r="G58" s="500" t="s">
        <v>77</v>
      </c>
      <c r="H58" s="501">
        <v>1.4</v>
      </c>
      <c r="I58" s="502">
        <f>$K$7*28.06</f>
        <v>25.910604</v>
      </c>
      <c r="J58" s="472">
        <f t="shared" si="3"/>
        <v>36.27</v>
      </c>
    </row>
    <row r="59" spans="1:10" s="24" customFormat="1" ht="28.5">
      <c r="A59" s="489" t="s">
        <v>135</v>
      </c>
      <c r="B59" s="499">
        <v>559</v>
      </c>
      <c r="C59" s="1024" t="s">
        <v>116</v>
      </c>
      <c r="D59" s="1025"/>
      <c r="E59" s="1025"/>
      <c r="F59" s="1026"/>
      <c r="G59" s="500" t="s">
        <v>69</v>
      </c>
      <c r="H59" s="501">
        <v>1.4</v>
      </c>
      <c r="I59" s="502">
        <f>$K$7*12.62</f>
        <v>11.653307999999999</v>
      </c>
      <c r="J59" s="472">
        <f t="shared" si="3"/>
        <v>16.31</v>
      </c>
    </row>
    <row r="60" spans="1:10" s="24" customFormat="1" ht="41.45" customHeight="1">
      <c r="A60" s="698" t="s">
        <v>520</v>
      </c>
      <c r="B60" s="499" t="s">
        <v>416</v>
      </c>
      <c r="C60" s="1024" t="s">
        <v>417</v>
      </c>
      <c r="D60" s="1025"/>
      <c r="E60" s="1025"/>
      <c r="F60" s="1026"/>
      <c r="G60" s="500" t="s">
        <v>63</v>
      </c>
      <c r="H60" s="501">
        <v>0.7</v>
      </c>
      <c r="I60" s="502">
        <f>$K$7*16.56</f>
        <v>15.291503999999998</v>
      </c>
      <c r="J60" s="472">
        <f t="shared" si="3"/>
        <v>10.7</v>
      </c>
    </row>
    <row r="61" spans="1:10" s="24" customFormat="1" ht="28.5">
      <c r="A61" s="698" t="s">
        <v>520</v>
      </c>
      <c r="B61" s="503">
        <v>88317</v>
      </c>
      <c r="C61" s="1027" t="s">
        <v>117</v>
      </c>
      <c r="D61" s="1028"/>
      <c r="E61" s="1028"/>
      <c r="F61" s="1029"/>
      <c r="G61" s="504" t="s">
        <v>88</v>
      </c>
      <c r="H61" s="505">
        <v>2</v>
      </c>
      <c r="I61" s="506">
        <f>$K$7*20.72</f>
        <v>19.132848</v>
      </c>
      <c r="J61" s="472">
        <f t="shared" si="3"/>
        <v>38.27</v>
      </c>
    </row>
    <row r="62" spans="1:10" s="24" customFormat="1" ht="15">
      <c r="A62" s="443"/>
      <c r="B62" s="444"/>
      <c r="C62" s="444"/>
      <c r="D62" s="444"/>
      <c r="E62" s="444"/>
      <c r="F62" s="444"/>
      <c r="G62" s="444"/>
      <c r="H62" s="444"/>
      <c r="I62" s="498" t="s">
        <v>92</v>
      </c>
      <c r="J62" s="507">
        <f>SUM(J42:J61)</f>
        <v>335.52</v>
      </c>
    </row>
    <row r="63" spans="1:10" s="24" customFormat="1" ht="14.25">
      <c r="A63" s="92"/>
      <c r="B63" s="92"/>
      <c r="C63" s="92"/>
      <c r="D63" s="92"/>
      <c r="E63" s="92"/>
      <c r="F63" s="92"/>
      <c r="G63" s="92"/>
      <c r="H63" s="92"/>
      <c r="I63" s="93"/>
      <c r="J63" s="92"/>
    </row>
    <row r="64" spans="1:10" s="24" customFormat="1" ht="15.75">
      <c r="A64" s="528" t="s">
        <v>518</v>
      </c>
      <c r="B64" s="529"/>
      <c r="C64" s="529"/>
      <c r="D64" s="529"/>
      <c r="E64" s="529"/>
      <c r="F64" s="529"/>
      <c r="G64" s="529"/>
      <c r="H64" s="529"/>
      <c r="I64" s="529"/>
      <c r="J64" s="452"/>
    </row>
    <row r="65" spans="1:10" ht="36" customHeight="1">
      <c r="A65" s="1021" t="s">
        <v>620</v>
      </c>
      <c r="B65" s="1022"/>
      <c r="C65" s="1022"/>
      <c r="D65" s="1022"/>
      <c r="E65" s="1022"/>
      <c r="F65" s="1022"/>
      <c r="G65" s="1022"/>
      <c r="H65" s="1022"/>
      <c r="I65" s="1023"/>
      <c r="J65" s="227" t="s">
        <v>101</v>
      </c>
    </row>
    <row r="66" spans="1:10" ht="30">
      <c r="A66" s="228" t="s">
        <v>78</v>
      </c>
      <c r="B66" s="229" t="s">
        <v>79</v>
      </c>
      <c r="C66" s="1005" t="s">
        <v>13</v>
      </c>
      <c r="D66" s="1006"/>
      <c r="E66" s="1006"/>
      <c r="F66" s="1007"/>
      <c r="G66" s="228" t="s">
        <v>91</v>
      </c>
      <c r="H66" s="230" t="s">
        <v>80</v>
      </c>
      <c r="I66" s="231" t="s">
        <v>81</v>
      </c>
      <c r="J66" s="181" t="s">
        <v>82</v>
      </c>
    </row>
    <row r="67" spans="1:10" ht="40.5" customHeight="1">
      <c r="A67" s="698" t="s">
        <v>519</v>
      </c>
      <c r="B67" s="510" t="s">
        <v>508</v>
      </c>
      <c r="C67" s="999" t="s">
        <v>610</v>
      </c>
      <c r="D67" s="1000"/>
      <c r="E67" s="1000"/>
      <c r="F67" s="1001"/>
      <c r="G67" s="696" t="s">
        <v>64</v>
      </c>
      <c r="H67" s="388">
        <f>((((0.47*10)*2+(0.57*10)*2)*2)+((0.26+0.33+0.39+0.46)*2)*2)*2.2</f>
        <v>104.192</v>
      </c>
      <c r="I67" s="511">
        <f>$K$7*4.69</f>
        <v>4.330746</v>
      </c>
      <c r="J67" s="472">
        <f aca="true" t="shared" si="4" ref="J67">ROUND(H67*I67,2)</f>
        <v>451.23</v>
      </c>
    </row>
    <row r="68" spans="1:12" ht="43.5" customHeight="1">
      <c r="A68" s="698" t="s">
        <v>135</v>
      </c>
      <c r="B68" s="510" t="s">
        <v>533</v>
      </c>
      <c r="C68" s="1011" t="s">
        <v>613</v>
      </c>
      <c r="D68" s="1012"/>
      <c r="E68" s="1012"/>
      <c r="F68" s="1013"/>
      <c r="G68" s="592" t="s">
        <v>64</v>
      </c>
      <c r="H68" s="388">
        <f>((0.07+0.35*0.12*2)+(0.15*0.36))*38</f>
        <v>7.904</v>
      </c>
      <c r="I68" s="511">
        <f>$K$7*4.73</f>
        <v>4.367682</v>
      </c>
      <c r="J68" s="472">
        <f aca="true" t="shared" si="5" ref="J68:J71">ROUND((H68*I68),2)</f>
        <v>34.52</v>
      </c>
      <c r="L68" s="3"/>
    </row>
    <row r="69" spans="1:10" ht="27.6" customHeight="1">
      <c r="A69" s="500" t="s">
        <v>249</v>
      </c>
      <c r="B69" s="510" t="s">
        <v>614</v>
      </c>
      <c r="C69" s="1011" t="s">
        <v>617</v>
      </c>
      <c r="D69" s="1012"/>
      <c r="E69" s="1012"/>
      <c r="F69" s="1013"/>
      <c r="G69" s="388" t="s">
        <v>244</v>
      </c>
      <c r="H69" s="388">
        <v>4</v>
      </c>
      <c r="I69" s="511">
        <f>$K$7*16.83</f>
        <v>15.540821999999999</v>
      </c>
      <c r="J69" s="486">
        <f t="shared" si="5"/>
        <v>62.16</v>
      </c>
    </row>
    <row r="70" spans="1:10" ht="45.75" customHeight="1">
      <c r="A70" s="500" t="s">
        <v>249</v>
      </c>
      <c r="B70" s="510" t="s">
        <v>270</v>
      </c>
      <c r="C70" s="1011" t="s">
        <v>615</v>
      </c>
      <c r="D70" s="1012"/>
      <c r="E70" s="1012"/>
      <c r="F70" s="1013"/>
      <c r="G70" s="388" t="s">
        <v>244</v>
      </c>
      <c r="H70" s="388">
        <v>4</v>
      </c>
      <c r="I70" s="511">
        <f>$K$7*1.55</f>
        <v>1.43127</v>
      </c>
      <c r="J70" s="486">
        <f t="shared" si="5"/>
        <v>5.73</v>
      </c>
    </row>
    <row r="71" spans="1:10" ht="33" customHeight="1">
      <c r="A71" s="500" t="s">
        <v>249</v>
      </c>
      <c r="B71" s="510" t="s">
        <v>271</v>
      </c>
      <c r="C71" s="1011" t="s">
        <v>275</v>
      </c>
      <c r="D71" s="1012"/>
      <c r="E71" s="1012"/>
      <c r="F71" s="1013"/>
      <c r="G71" s="388" t="s">
        <v>244</v>
      </c>
      <c r="H71" s="388">
        <f>H70*2</f>
        <v>8</v>
      </c>
      <c r="I71" s="511">
        <f>$K$7*0.39</f>
        <v>0.360126</v>
      </c>
      <c r="J71" s="486">
        <f t="shared" si="5"/>
        <v>2.88</v>
      </c>
    </row>
    <row r="72" spans="1:10" ht="47.25" customHeight="1">
      <c r="A72" s="500" t="s">
        <v>83</v>
      </c>
      <c r="B72" s="510" t="s">
        <v>272</v>
      </c>
      <c r="C72" s="1011" t="s">
        <v>612</v>
      </c>
      <c r="D72" s="1012"/>
      <c r="E72" s="1012"/>
      <c r="F72" s="1013"/>
      <c r="G72" s="388" t="s">
        <v>69</v>
      </c>
      <c r="H72" s="388">
        <f>(0.35*2)*2+(0.04*27*4*2*2)</f>
        <v>18.68</v>
      </c>
      <c r="I72" s="511">
        <f>$K$7*44.78</f>
        <v>41.349852</v>
      </c>
      <c r="J72" s="472">
        <f>ROUND(H72*I72,2)</f>
        <v>772.42</v>
      </c>
    </row>
    <row r="73" spans="1:10" ht="31.5" customHeight="1">
      <c r="A73" s="698" t="s">
        <v>519</v>
      </c>
      <c r="B73" s="512" t="s">
        <v>517</v>
      </c>
      <c r="C73" s="999" t="s">
        <v>611</v>
      </c>
      <c r="D73" s="1000"/>
      <c r="E73" s="1000"/>
      <c r="F73" s="1001"/>
      <c r="G73" s="696" t="s">
        <v>64</v>
      </c>
      <c r="H73" s="388">
        <f>((6.262+1.56+4.69)*2)*8.64</f>
        <v>216.20736000000002</v>
      </c>
      <c r="I73" s="511">
        <f>$K$7*4.94</f>
        <v>4.561596000000001</v>
      </c>
      <c r="J73" s="472">
        <f>ROUND(H73*I73,2)</f>
        <v>986.25</v>
      </c>
    </row>
    <row r="74" spans="1:10" ht="31.5" customHeight="1">
      <c r="A74" s="698" t="s">
        <v>520</v>
      </c>
      <c r="B74" s="510" t="s">
        <v>513</v>
      </c>
      <c r="C74" s="999" t="s">
        <v>514</v>
      </c>
      <c r="D74" s="1000"/>
      <c r="E74" s="1000"/>
      <c r="F74" s="1001"/>
      <c r="G74" s="696" t="s">
        <v>88</v>
      </c>
      <c r="H74" s="388">
        <v>2.844</v>
      </c>
      <c r="I74" s="511">
        <f>$K$7*16.75</f>
        <v>15.46695</v>
      </c>
      <c r="J74" s="472">
        <f aca="true" t="shared" si="6" ref="J74:J76">ROUND(H74*I74,2)</f>
        <v>43.99</v>
      </c>
    </row>
    <row r="75" spans="1:10" ht="28.5">
      <c r="A75" s="698" t="s">
        <v>520</v>
      </c>
      <c r="B75" s="510" t="s">
        <v>251</v>
      </c>
      <c r="C75" s="999" t="s">
        <v>89</v>
      </c>
      <c r="D75" s="1000"/>
      <c r="E75" s="1000"/>
      <c r="F75" s="1001"/>
      <c r="G75" s="696" t="s">
        <v>88</v>
      </c>
      <c r="H75" s="388">
        <v>0.656</v>
      </c>
      <c r="I75" s="511">
        <f>$K$7*15.84</f>
        <v>14.626656</v>
      </c>
      <c r="J75" s="472">
        <f t="shared" si="6"/>
        <v>9.6</v>
      </c>
    </row>
    <row r="76" spans="1:10" ht="45.75" customHeight="1">
      <c r="A76" s="698" t="s">
        <v>520</v>
      </c>
      <c r="B76" s="513" t="s">
        <v>515</v>
      </c>
      <c r="C76" s="999" t="s">
        <v>516</v>
      </c>
      <c r="D76" s="1000"/>
      <c r="E76" s="1000"/>
      <c r="F76" s="1001"/>
      <c r="G76" s="697" t="s">
        <v>227</v>
      </c>
      <c r="H76" s="514">
        <v>1</v>
      </c>
      <c r="I76" s="515">
        <f>$K$7*253.04</f>
        <v>233.65713599999998</v>
      </c>
      <c r="J76" s="472">
        <f t="shared" si="6"/>
        <v>233.66</v>
      </c>
    </row>
    <row r="77" spans="1:10" ht="15">
      <c r="A77" s="516"/>
      <c r="B77" s="517"/>
      <c r="C77" s="517"/>
      <c r="D77" s="517"/>
      <c r="E77" s="517"/>
      <c r="F77" s="517"/>
      <c r="G77" s="518"/>
      <c r="H77" s="518"/>
      <c r="I77" s="519" t="s">
        <v>92</v>
      </c>
      <c r="J77" s="520">
        <f>SUM(J67:J76)</f>
        <v>2602.4399999999996</v>
      </c>
    </row>
    <row r="78" spans="1:10" ht="14.25">
      <c r="A78" s="221"/>
      <c r="B78" s="222"/>
      <c r="C78" s="222"/>
      <c r="D78" s="222"/>
      <c r="E78" s="222"/>
      <c r="F78" s="222"/>
      <c r="G78" s="223"/>
      <c r="H78" s="223"/>
      <c r="I78" s="223"/>
      <c r="J78" s="175"/>
    </row>
    <row r="79" spans="1:10" ht="15.75">
      <c r="A79" s="528" t="s">
        <v>268</v>
      </c>
      <c r="B79" s="529"/>
      <c r="C79" s="529"/>
      <c r="D79" s="529"/>
      <c r="E79" s="529"/>
      <c r="F79" s="529"/>
      <c r="G79" s="529"/>
      <c r="H79" s="529"/>
      <c r="I79" s="529"/>
      <c r="J79" s="452"/>
    </row>
    <row r="80" spans="1:10" ht="50.25" customHeight="1">
      <c r="A80" s="1021" t="s">
        <v>621</v>
      </c>
      <c r="B80" s="1022"/>
      <c r="C80" s="1022"/>
      <c r="D80" s="1022"/>
      <c r="E80" s="1022"/>
      <c r="F80" s="1022"/>
      <c r="G80" s="1022"/>
      <c r="H80" s="1022"/>
      <c r="I80" s="1023"/>
      <c r="J80" s="227" t="s">
        <v>437</v>
      </c>
    </row>
    <row r="81" spans="1:10" ht="30">
      <c r="A81" s="228" t="s">
        <v>78</v>
      </c>
      <c r="B81" s="229" t="s">
        <v>79</v>
      </c>
      <c r="C81" s="1005" t="s">
        <v>13</v>
      </c>
      <c r="D81" s="1006"/>
      <c r="E81" s="1006"/>
      <c r="F81" s="1007"/>
      <c r="G81" s="228" t="s">
        <v>91</v>
      </c>
      <c r="H81" s="230" t="s">
        <v>80</v>
      </c>
      <c r="I81" s="231" t="s">
        <v>81</v>
      </c>
      <c r="J81" s="181" t="s">
        <v>82</v>
      </c>
    </row>
    <row r="82" spans="1:10" ht="41.25" customHeight="1">
      <c r="A82" s="698" t="s">
        <v>519</v>
      </c>
      <c r="B82" s="510" t="s">
        <v>508</v>
      </c>
      <c r="C82" s="999" t="s">
        <v>610</v>
      </c>
      <c r="D82" s="1000"/>
      <c r="E82" s="1000"/>
      <c r="F82" s="1001"/>
      <c r="G82" s="696" t="s">
        <v>64</v>
      </c>
      <c r="H82" s="388">
        <f>((((0.47*10)*2+(0.57*10)*2)*2)+((0.26+0.33+0.39+0.46)*2)*2)*2.2</f>
        <v>104.192</v>
      </c>
      <c r="I82" s="511">
        <f>$K$7*4.69</f>
        <v>4.330746</v>
      </c>
      <c r="J82" s="472">
        <f aca="true" t="shared" si="7" ref="J82">ROUND(H82*I82,2)</f>
        <v>451.23</v>
      </c>
    </row>
    <row r="83" spans="1:10" ht="45" customHeight="1">
      <c r="A83" s="698" t="s">
        <v>135</v>
      </c>
      <c r="B83" s="510" t="s">
        <v>533</v>
      </c>
      <c r="C83" s="1011" t="s">
        <v>616</v>
      </c>
      <c r="D83" s="1012"/>
      <c r="E83" s="1012"/>
      <c r="F83" s="1013"/>
      <c r="G83" s="592" t="s">
        <v>64</v>
      </c>
      <c r="H83" s="388">
        <f>((0.07+0.35*0.12*2)+(0.15*0.36)+(0.11+(0.46+0.5)*0.15)*2)*38</f>
        <v>27.208</v>
      </c>
      <c r="I83" s="511">
        <f>$K$7*4.73</f>
        <v>4.367682</v>
      </c>
      <c r="J83" s="472">
        <f aca="true" t="shared" si="8" ref="J83:J87">ROUND((H83*I83),2)</f>
        <v>118.84</v>
      </c>
    </row>
    <row r="84" spans="1:10" ht="31.5" customHeight="1">
      <c r="A84" s="500" t="s">
        <v>249</v>
      </c>
      <c r="B84" s="510" t="s">
        <v>614</v>
      </c>
      <c r="C84" s="1011" t="s">
        <v>619</v>
      </c>
      <c r="D84" s="1012"/>
      <c r="E84" s="1012"/>
      <c r="F84" s="1013"/>
      <c r="G84" s="388" t="s">
        <v>244</v>
      </c>
      <c r="H84" s="388">
        <v>4</v>
      </c>
      <c r="I84" s="511">
        <f>$K$7*16.83</f>
        <v>15.540821999999999</v>
      </c>
      <c r="J84" s="486">
        <f t="shared" si="8"/>
        <v>62.16</v>
      </c>
    </row>
    <row r="85" spans="1:10" ht="31.5" customHeight="1">
      <c r="A85" s="500" t="s">
        <v>249</v>
      </c>
      <c r="B85" s="510" t="s">
        <v>614</v>
      </c>
      <c r="C85" s="1011" t="s">
        <v>618</v>
      </c>
      <c r="D85" s="1012"/>
      <c r="E85" s="1012"/>
      <c r="F85" s="1013"/>
      <c r="G85" s="388" t="s">
        <v>244</v>
      </c>
      <c r="H85" s="388">
        <v>4</v>
      </c>
      <c r="I85" s="511">
        <f>$K$7*16.83</f>
        <v>15.540821999999999</v>
      </c>
      <c r="J85" s="486">
        <f aca="true" t="shared" si="9" ref="J85">ROUND((H85*I85),2)</f>
        <v>62.16</v>
      </c>
    </row>
    <row r="86" spans="1:10" ht="42.75" customHeight="1">
      <c r="A86" s="500" t="s">
        <v>249</v>
      </c>
      <c r="B86" s="510" t="s">
        <v>270</v>
      </c>
      <c r="C86" s="1011" t="s">
        <v>615</v>
      </c>
      <c r="D86" s="1012"/>
      <c r="E86" s="1012"/>
      <c r="F86" s="1013"/>
      <c r="G86" s="388" t="s">
        <v>244</v>
      </c>
      <c r="H86" s="388">
        <f>4+4</f>
        <v>8</v>
      </c>
      <c r="I86" s="511">
        <f>$K$7*1.55</f>
        <v>1.43127</v>
      </c>
      <c r="J86" s="486">
        <f t="shared" si="8"/>
        <v>11.45</v>
      </c>
    </row>
    <row r="87" spans="1:10" ht="28.5" customHeight="1">
      <c r="A87" s="500" t="s">
        <v>249</v>
      </c>
      <c r="B87" s="510" t="s">
        <v>271</v>
      </c>
      <c r="C87" s="1011" t="s">
        <v>275</v>
      </c>
      <c r="D87" s="1012"/>
      <c r="E87" s="1012"/>
      <c r="F87" s="1013"/>
      <c r="G87" s="388" t="s">
        <v>244</v>
      </c>
      <c r="H87" s="388">
        <f>H86*2</f>
        <v>16</v>
      </c>
      <c r="I87" s="511">
        <f>$K$7*0.39</f>
        <v>0.360126</v>
      </c>
      <c r="J87" s="486">
        <f t="shared" si="8"/>
        <v>5.76</v>
      </c>
    </row>
    <row r="88" spans="1:10" ht="48.75" customHeight="1">
      <c r="A88" s="500" t="s">
        <v>83</v>
      </c>
      <c r="B88" s="510" t="s">
        <v>272</v>
      </c>
      <c r="C88" s="1011" t="s">
        <v>612</v>
      </c>
      <c r="D88" s="1012"/>
      <c r="E88" s="1012"/>
      <c r="F88" s="1013"/>
      <c r="G88" s="388" t="s">
        <v>69</v>
      </c>
      <c r="H88" s="388">
        <f>(0.35*2)*2+(0.04*27*4*2*2)+((0.5+0.46)*2)*2</f>
        <v>22.52</v>
      </c>
      <c r="I88" s="511">
        <f>$K$7*44.78</f>
        <v>41.349852</v>
      </c>
      <c r="J88" s="472">
        <f>ROUND(H88*I88,2)</f>
        <v>931.2</v>
      </c>
    </row>
    <row r="89" spans="1:10" ht="45.75" customHeight="1">
      <c r="A89" s="698" t="s">
        <v>519</v>
      </c>
      <c r="B89" s="512" t="s">
        <v>517</v>
      </c>
      <c r="C89" s="999" t="s">
        <v>611</v>
      </c>
      <c r="D89" s="1000"/>
      <c r="E89" s="1000"/>
      <c r="F89" s="1001"/>
      <c r="G89" s="696" t="s">
        <v>64</v>
      </c>
      <c r="H89" s="388">
        <f>((6.262+1.56+4.69)*2)*8.64</f>
        <v>216.20736000000002</v>
      </c>
      <c r="I89" s="511">
        <f>$K$7*4.94</f>
        <v>4.561596000000001</v>
      </c>
      <c r="J89" s="472">
        <f>ROUND(H89*I89,2)</f>
        <v>986.25</v>
      </c>
    </row>
    <row r="90" spans="1:10" ht="45.75" customHeight="1">
      <c r="A90" s="698" t="s">
        <v>520</v>
      </c>
      <c r="B90" s="510" t="s">
        <v>513</v>
      </c>
      <c r="C90" s="999" t="s">
        <v>514</v>
      </c>
      <c r="D90" s="1000"/>
      <c r="E90" s="1000"/>
      <c r="F90" s="1001"/>
      <c r="G90" s="696" t="s">
        <v>88</v>
      </c>
      <c r="H90" s="388">
        <v>2.844</v>
      </c>
      <c r="I90" s="511">
        <f>$K$7*16.75</f>
        <v>15.46695</v>
      </c>
      <c r="J90" s="472">
        <f aca="true" t="shared" si="10" ref="J90:J92">ROUND(H90*I90,2)</f>
        <v>43.99</v>
      </c>
    </row>
    <row r="91" spans="1:10" ht="45.75" customHeight="1">
      <c r="A91" s="698" t="s">
        <v>520</v>
      </c>
      <c r="B91" s="510" t="s">
        <v>251</v>
      </c>
      <c r="C91" s="999" t="s">
        <v>89</v>
      </c>
      <c r="D91" s="1000"/>
      <c r="E91" s="1000"/>
      <c r="F91" s="1001"/>
      <c r="G91" s="696" t="s">
        <v>88</v>
      </c>
      <c r="H91" s="388">
        <v>0.656</v>
      </c>
      <c r="I91" s="511">
        <f>$K$7*15.84</f>
        <v>14.626656</v>
      </c>
      <c r="J91" s="472">
        <f t="shared" si="10"/>
        <v>9.6</v>
      </c>
    </row>
    <row r="92" spans="1:10" ht="45.75" customHeight="1">
      <c r="A92" s="698" t="s">
        <v>520</v>
      </c>
      <c r="B92" s="513" t="s">
        <v>515</v>
      </c>
      <c r="C92" s="999" t="s">
        <v>516</v>
      </c>
      <c r="D92" s="1000"/>
      <c r="E92" s="1000"/>
      <c r="F92" s="1001"/>
      <c r="G92" s="697" t="s">
        <v>227</v>
      </c>
      <c r="H92" s="514">
        <v>1</v>
      </c>
      <c r="I92" s="515">
        <f>$K$7*253.04</f>
        <v>233.65713599999998</v>
      </c>
      <c r="J92" s="472">
        <f t="shared" si="10"/>
        <v>233.66</v>
      </c>
    </row>
    <row r="93" spans="1:10" ht="14.25">
      <c r="A93" s="500"/>
      <c r="B93" s="510"/>
      <c r="C93" s="999"/>
      <c r="D93" s="1000"/>
      <c r="E93" s="1000"/>
      <c r="F93" s="1001"/>
      <c r="G93" s="388"/>
      <c r="H93" s="388"/>
      <c r="I93" s="511"/>
      <c r="J93" s="511">
        <f>ROUND((H93*I93),2)</f>
        <v>0</v>
      </c>
    </row>
    <row r="94" spans="1:10" ht="15">
      <c r="A94" s="516"/>
      <c r="B94" s="517"/>
      <c r="C94" s="517"/>
      <c r="D94" s="517"/>
      <c r="E94" s="517"/>
      <c r="F94" s="517"/>
      <c r="G94" s="518"/>
      <c r="H94" s="518"/>
      <c r="I94" s="519" t="s">
        <v>92</v>
      </c>
      <c r="J94" s="520">
        <f>SUM(J82:J93)</f>
        <v>2916.2999999999997</v>
      </c>
    </row>
    <row r="95" spans="1:10" ht="14.25">
      <c r="A95" s="221"/>
      <c r="B95" s="222"/>
      <c r="C95" s="222"/>
      <c r="D95" s="222"/>
      <c r="E95" s="222"/>
      <c r="F95" s="222"/>
      <c r="G95" s="223"/>
      <c r="H95" s="223"/>
      <c r="I95" s="223"/>
      <c r="J95" s="175"/>
    </row>
    <row r="96" spans="1:10" ht="15.75">
      <c r="A96" s="528" t="s">
        <v>422</v>
      </c>
      <c r="B96" s="529"/>
      <c r="C96" s="529"/>
      <c r="D96" s="529"/>
      <c r="E96" s="529"/>
      <c r="F96" s="529"/>
      <c r="G96" s="529"/>
      <c r="H96" s="529"/>
      <c r="I96" s="529"/>
      <c r="J96" s="452"/>
    </row>
    <row r="97" spans="1:12" ht="66.75" customHeight="1">
      <c r="A97" s="1002" t="s">
        <v>547</v>
      </c>
      <c r="B97" s="1003"/>
      <c r="C97" s="1003"/>
      <c r="D97" s="1003"/>
      <c r="E97" s="1003"/>
      <c r="F97" s="1003"/>
      <c r="G97" s="1003"/>
      <c r="H97" s="1003"/>
      <c r="I97" s="1004"/>
      <c r="J97" s="227" t="s">
        <v>91</v>
      </c>
      <c r="L97" s="5"/>
    </row>
    <row r="98" spans="1:10" ht="30">
      <c r="A98" s="228" t="s">
        <v>78</v>
      </c>
      <c r="B98" s="229" t="s">
        <v>79</v>
      </c>
      <c r="C98" s="1005" t="s">
        <v>13</v>
      </c>
      <c r="D98" s="1006"/>
      <c r="E98" s="1006"/>
      <c r="F98" s="1007"/>
      <c r="G98" s="228" t="s">
        <v>91</v>
      </c>
      <c r="H98" s="230" t="s">
        <v>80</v>
      </c>
      <c r="I98" s="231" t="s">
        <v>81</v>
      </c>
      <c r="J98" s="181" t="s">
        <v>82</v>
      </c>
    </row>
    <row r="99" spans="1:10" ht="14.25">
      <c r="A99" s="701"/>
      <c r="B99" s="702"/>
      <c r="C99" s="1020" t="s">
        <v>538</v>
      </c>
      <c r="D99" s="1020"/>
      <c r="E99" s="1020"/>
      <c r="F99" s="1020"/>
      <c r="G99" s="703"/>
      <c r="H99" s="703"/>
      <c r="I99" s="705"/>
      <c r="J99" s="704"/>
    </row>
    <row r="100" spans="1:10" ht="27.6" customHeight="1">
      <c r="A100" s="500" t="s">
        <v>83</v>
      </c>
      <c r="B100" s="510" t="s">
        <v>299</v>
      </c>
      <c r="C100" s="1011" t="s">
        <v>188</v>
      </c>
      <c r="D100" s="1012"/>
      <c r="E100" s="1012"/>
      <c r="F100" s="1013"/>
      <c r="G100" s="388" t="s">
        <v>226</v>
      </c>
      <c r="H100" s="388">
        <f>2.2*2.2*0.53</f>
        <v>2.5652000000000004</v>
      </c>
      <c r="I100" s="511">
        <f>$K$7*72.22</f>
        <v>66.687948</v>
      </c>
      <c r="J100" s="486">
        <f aca="true" t="shared" si="11" ref="J100:J106">ROUND((H100*I100),2)</f>
        <v>171.07</v>
      </c>
    </row>
    <row r="101" spans="1:10" ht="27.6" customHeight="1">
      <c r="A101" s="500" t="s">
        <v>83</v>
      </c>
      <c r="B101" s="510" t="s">
        <v>300</v>
      </c>
      <c r="C101" s="1011" t="s">
        <v>311</v>
      </c>
      <c r="D101" s="1012"/>
      <c r="E101" s="1012"/>
      <c r="F101" s="1013"/>
      <c r="G101" s="388" t="s">
        <v>63</v>
      </c>
      <c r="H101" s="388">
        <f>2.1*2.1</f>
        <v>4.41</v>
      </c>
      <c r="I101" s="511">
        <f>$K$7*15.27</f>
        <v>14.100318</v>
      </c>
      <c r="J101" s="486">
        <f t="shared" si="11"/>
        <v>62.18</v>
      </c>
    </row>
    <row r="102" spans="1:10" ht="39.75" customHeight="1">
      <c r="A102" s="500" t="s">
        <v>83</v>
      </c>
      <c r="B102" s="510" t="s">
        <v>301</v>
      </c>
      <c r="C102" s="1011" t="s">
        <v>312</v>
      </c>
      <c r="D102" s="1012"/>
      <c r="E102" s="1012"/>
      <c r="F102" s="1013"/>
      <c r="G102" s="388" t="s">
        <v>63</v>
      </c>
      <c r="H102" s="388">
        <f>2*4*0.05</f>
        <v>0.4</v>
      </c>
      <c r="I102" s="511">
        <f>$K$7*58.26</f>
        <v>53.797284</v>
      </c>
      <c r="J102" s="486">
        <f t="shared" si="11"/>
        <v>21.52</v>
      </c>
    </row>
    <row r="103" spans="1:10" ht="27.6" customHeight="1">
      <c r="A103" s="500" t="s">
        <v>83</v>
      </c>
      <c r="B103" s="510" t="s">
        <v>302</v>
      </c>
      <c r="C103" s="1011" t="s">
        <v>313</v>
      </c>
      <c r="D103" s="1012"/>
      <c r="E103" s="1012"/>
      <c r="F103" s="1013"/>
      <c r="G103" s="388" t="s">
        <v>64</v>
      </c>
      <c r="H103" s="388">
        <f>2.3*14*2*0.617</f>
        <v>39.73479999999999</v>
      </c>
      <c r="I103" s="511">
        <f>$K$7*8.2</f>
        <v>7.571879999999999</v>
      </c>
      <c r="J103" s="486">
        <f t="shared" si="11"/>
        <v>300.87</v>
      </c>
    </row>
    <row r="104" spans="1:10" ht="27.6" customHeight="1">
      <c r="A104" s="500" t="s">
        <v>83</v>
      </c>
      <c r="B104" s="510" t="s">
        <v>303</v>
      </c>
      <c r="C104" s="1011" t="s">
        <v>225</v>
      </c>
      <c r="D104" s="1012"/>
      <c r="E104" s="1012"/>
      <c r="F104" s="1013"/>
      <c r="G104" s="388" t="s">
        <v>226</v>
      </c>
      <c r="H104" s="388">
        <f>2*2*0.5</f>
        <v>2</v>
      </c>
      <c r="I104" s="511">
        <f>$K$7*408.11</f>
        <v>376.848774</v>
      </c>
      <c r="J104" s="486">
        <f t="shared" si="11"/>
        <v>753.7</v>
      </c>
    </row>
    <row r="105" spans="1:10" ht="27.6" customHeight="1">
      <c r="A105" s="500" t="s">
        <v>83</v>
      </c>
      <c r="B105" s="510" t="s">
        <v>418</v>
      </c>
      <c r="C105" s="1011" t="s">
        <v>419</v>
      </c>
      <c r="D105" s="1012"/>
      <c r="E105" s="1012"/>
      <c r="F105" s="1013"/>
      <c r="G105" s="388" t="s">
        <v>226</v>
      </c>
      <c r="H105" s="388">
        <f>H104</f>
        <v>2</v>
      </c>
      <c r="I105" s="511">
        <f>$K$7*163.16</f>
        <v>150.661944</v>
      </c>
      <c r="J105" s="486">
        <f t="shared" si="11"/>
        <v>301.32</v>
      </c>
    </row>
    <row r="106" spans="1:10" ht="14.25">
      <c r="A106" s="500" t="s">
        <v>83</v>
      </c>
      <c r="B106" s="510" t="s">
        <v>304</v>
      </c>
      <c r="C106" s="1017" t="s">
        <v>314</v>
      </c>
      <c r="D106" s="1018"/>
      <c r="E106" s="1018"/>
      <c r="F106" s="1019"/>
      <c r="G106" s="388" t="s">
        <v>226</v>
      </c>
      <c r="H106" s="388">
        <f>H100-H104</f>
        <v>0.5652000000000004</v>
      </c>
      <c r="I106" s="511">
        <f>$K$7*37.99</f>
        <v>35.079966</v>
      </c>
      <c r="J106" s="486">
        <f t="shared" si="11"/>
        <v>19.83</v>
      </c>
    </row>
    <row r="107" spans="1:10" ht="14.25">
      <c r="A107" s="701"/>
      <c r="B107" s="702"/>
      <c r="C107" s="1020" t="s">
        <v>433</v>
      </c>
      <c r="D107" s="1020"/>
      <c r="E107" s="1020"/>
      <c r="F107" s="1020"/>
      <c r="G107" s="703"/>
      <c r="H107" s="703"/>
      <c r="I107" s="705"/>
      <c r="J107" s="704"/>
    </row>
    <row r="108" spans="1:10" ht="27.6" customHeight="1">
      <c r="A108" s="521" t="s">
        <v>249</v>
      </c>
      <c r="B108" s="463" t="s">
        <v>294</v>
      </c>
      <c r="C108" s="1011" t="s">
        <v>305</v>
      </c>
      <c r="D108" s="1012"/>
      <c r="E108" s="1012"/>
      <c r="F108" s="1013"/>
      <c r="G108" s="522" t="s">
        <v>247</v>
      </c>
      <c r="H108" s="522">
        <v>4</v>
      </c>
      <c r="I108" s="486">
        <f>$K$7*546.9</f>
        <v>505.00746</v>
      </c>
      <c r="J108" s="486">
        <f>ROUND((H108*I108),2)</f>
        <v>2020.03</v>
      </c>
    </row>
    <row r="109" spans="1:10" ht="27.6" customHeight="1">
      <c r="A109" s="500" t="s">
        <v>249</v>
      </c>
      <c r="B109" s="510" t="s">
        <v>295</v>
      </c>
      <c r="C109" s="1011" t="s">
        <v>306</v>
      </c>
      <c r="D109" s="1012"/>
      <c r="E109" s="1012"/>
      <c r="F109" s="1013"/>
      <c r="G109" s="388" t="s">
        <v>247</v>
      </c>
      <c r="H109" s="388">
        <f>0.52*4</f>
        <v>2.08</v>
      </c>
      <c r="I109" s="511">
        <f>$K$7*154.39</f>
        <v>142.56372599999997</v>
      </c>
      <c r="J109" s="486">
        <f aca="true" t="shared" si="12" ref="J109:J120">ROUND((H109*I109),2)</f>
        <v>296.53</v>
      </c>
    </row>
    <row r="110" spans="1:10" ht="27.6" customHeight="1">
      <c r="A110" s="500" t="s">
        <v>249</v>
      </c>
      <c r="B110" s="510" t="s">
        <v>296</v>
      </c>
      <c r="C110" s="1011" t="s">
        <v>307</v>
      </c>
      <c r="D110" s="1012"/>
      <c r="E110" s="1012"/>
      <c r="F110" s="1013"/>
      <c r="G110" s="388" t="s">
        <v>247</v>
      </c>
      <c r="H110" s="388">
        <f>0.26*4</f>
        <v>1.04</v>
      </c>
      <c r="I110" s="511">
        <f>$K$7*84.28</f>
        <v>77.824152</v>
      </c>
      <c r="J110" s="486">
        <f t="shared" si="12"/>
        <v>80.94</v>
      </c>
    </row>
    <row r="111" spans="1:10" ht="27.6" customHeight="1">
      <c r="A111" s="500" t="s">
        <v>249</v>
      </c>
      <c r="B111" s="510" t="s">
        <v>297</v>
      </c>
      <c r="C111" s="1011" t="s">
        <v>308</v>
      </c>
      <c r="D111" s="1012"/>
      <c r="E111" s="1012"/>
      <c r="F111" s="1013"/>
      <c r="G111" s="388" t="s">
        <v>277</v>
      </c>
      <c r="H111" s="388">
        <f>(37.29*(0.5*0.5)+(37.29*((3.14*0.15*0.15)*2)))+(37.29*0.12)</f>
        <v>19.066377</v>
      </c>
      <c r="I111" s="511">
        <f>$K$7*5.23</f>
        <v>4.829382000000001</v>
      </c>
      <c r="J111" s="486">
        <f t="shared" si="12"/>
        <v>92.08</v>
      </c>
    </row>
    <row r="112" spans="1:10" ht="27.6" customHeight="1">
      <c r="A112" s="500" t="s">
        <v>83</v>
      </c>
      <c r="B112" s="510">
        <v>98751</v>
      </c>
      <c r="C112" s="1011" t="s">
        <v>309</v>
      </c>
      <c r="D112" s="1012"/>
      <c r="E112" s="1012"/>
      <c r="F112" s="1013"/>
      <c r="G112" s="388" t="s">
        <v>69</v>
      </c>
      <c r="H112" s="388">
        <f>2.27+(0.95*2+2+0.63*4+0.44*4+0.31*4)</f>
        <v>11.69</v>
      </c>
      <c r="I112" s="511">
        <f>$K$7*85.04</f>
        <v>78.525936</v>
      </c>
      <c r="J112" s="486">
        <f t="shared" si="12"/>
        <v>917.97</v>
      </c>
    </row>
    <row r="113" spans="1:10" ht="27.6" customHeight="1">
      <c r="A113" s="500" t="s">
        <v>249</v>
      </c>
      <c r="B113" s="510" t="s">
        <v>539</v>
      </c>
      <c r="C113" s="1011" t="s">
        <v>540</v>
      </c>
      <c r="D113" s="1012"/>
      <c r="E113" s="1012"/>
      <c r="F113" s="1013"/>
      <c r="G113" s="388" t="s">
        <v>244</v>
      </c>
      <c r="H113" s="388">
        <v>8</v>
      </c>
      <c r="I113" s="511">
        <f>$K$7*16.83</f>
        <v>15.540821999999999</v>
      </c>
      <c r="J113" s="486">
        <f aca="true" t="shared" si="13" ref="J113:J114">ROUND((H113*I113),2)</f>
        <v>124.33</v>
      </c>
    </row>
    <row r="114" spans="1:10" ht="14.25" customHeight="1">
      <c r="A114" s="500" t="s">
        <v>249</v>
      </c>
      <c r="B114" s="510" t="s">
        <v>541</v>
      </c>
      <c r="C114" s="1011" t="s">
        <v>542</v>
      </c>
      <c r="D114" s="1012"/>
      <c r="E114" s="1012"/>
      <c r="F114" s="1013"/>
      <c r="G114" s="388" t="s">
        <v>244</v>
      </c>
      <c r="H114" s="388">
        <v>8</v>
      </c>
      <c r="I114" s="511">
        <f>$K$7*0.83</f>
        <v>0.7664219999999999</v>
      </c>
      <c r="J114" s="486">
        <f t="shared" si="13"/>
        <v>6.13</v>
      </c>
    </row>
    <row r="115" spans="1:10" ht="27.6" customHeight="1">
      <c r="A115" s="500" t="s">
        <v>249</v>
      </c>
      <c r="B115" s="510" t="s">
        <v>270</v>
      </c>
      <c r="C115" s="1011" t="s">
        <v>274</v>
      </c>
      <c r="D115" s="1012"/>
      <c r="E115" s="1012"/>
      <c r="F115" s="1013"/>
      <c r="G115" s="388" t="s">
        <v>244</v>
      </c>
      <c r="H115" s="388">
        <v>4</v>
      </c>
      <c r="I115" s="511">
        <f>$K$7*1.55</f>
        <v>1.43127</v>
      </c>
      <c r="J115" s="486">
        <f t="shared" si="12"/>
        <v>5.73</v>
      </c>
    </row>
    <row r="116" spans="1:10" ht="14.25">
      <c r="A116" s="500" t="s">
        <v>249</v>
      </c>
      <c r="B116" s="510" t="s">
        <v>271</v>
      </c>
      <c r="C116" s="1011" t="s">
        <v>275</v>
      </c>
      <c r="D116" s="1012"/>
      <c r="E116" s="1012"/>
      <c r="F116" s="1013"/>
      <c r="G116" s="388" t="s">
        <v>244</v>
      </c>
      <c r="H116" s="388">
        <v>4</v>
      </c>
      <c r="I116" s="511">
        <f>$K$7*0.39</f>
        <v>0.360126</v>
      </c>
      <c r="J116" s="486">
        <f t="shared" si="12"/>
        <v>1.44</v>
      </c>
    </row>
    <row r="117" spans="1:10" ht="14.25">
      <c r="A117" s="500" t="s">
        <v>83</v>
      </c>
      <c r="B117" s="510">
        <v>88315</v>
      </c>
      <c r="C117" s="1011" t="s">
        <v>103</v>
      </c>
      <c r="D117" s="1012"/>
      <c r="E117" s="1012"/>
      <c r="F117" s="1013"/>
      <c r="G117" s="388" t="s">
        <v>88</v>
      </c>
      <c r="H117" s="388">
        <v>0.12</v>
      </c>
      <c r="I117" s="511">
        <f>$K$7*19.98</f>
        <v>18.449532</v>
      </c>
      <c r="J117" s="486">
        <f t="shared" si="12"/>
        <v>2.21</v>
      </c>
    </row>
    <row r="118" spans="1:10" ht="14.25">
      <c r="A118" s="500" t="s">
        <v>83</v>
      </c>
      <c r="B118" s="510">
        <v>88251</v>
      </c>
      <c r="C118" s="1011" t="s">
        <v>104</v>
      </c>
      <c r="D118" s="1012"/>
      <c r="E118" s="1012"/>
      <c r="F118" s="1013"/>
      <c r="G118" s="388" t="s">
        <v>88</v>
      </c>
      <c r="H118" s="388">
        <v>0.12</v>
      </c>
      <c r="I118" s="511">
        <f>$K$7*16.2</f>
        <v>14.95908</v>
      </c>
      <c r="J118" s="486">
        <f t="shared" si="12"/>
        <v>1.8</v>
      </c>
    </row>
    <row r="119" spans="1:10" ht="42" customHeight="1">
      <c r="A119" s="500" t="s">
        <v>83</v>
      </c>
      <c r="B119" s="510" t="s">
        <v>298</v>
      </c>
      <c r="C119" s="1011" t="s">
        <v>310</v>
      </c>
      <c r="D119" s="1012"/>
      <c r="E119" s="1012"/>
      <c r="F119" s="1013"/>
      <c r="G119" s="388" t="s">
        <v>226</v>
      </c>
      <c r="H119" s="388">
        <f>0.5*0.5*0.05</f>
        <v>0.0125</v>
      </c>
      <c r="I119" s="511">
        <f>$K$7*414.09</f>
        <v>382.370706</v>
      </c>
      <c r="J119" s="486">
        <f t="shared" si="12"/>
        <v>4.78</v>
      </c>
    </row>
    <row r="120" spans="1:10" ht="43.5" customHeight="1">
      <c r="A120" s="500" t="s">
        <v>83</v>
      </c>
      <c r="B120" s="510" t="s">
        <v>543</v>
      </c>
      <c r="C120" s="1011" t="s">
        <v>544</v>
      </c>
      <c r="D120" s="1012"/>
      <c r="E120" s="1012"/>
      <c r="F120" s="1013"/>
      <c r="G120" s="388" t="s">
        <v>63</v>
      </c>
      <c r="H120" s="388">
        <f>0.95*4+0.32*0.52*4+0.19*0.26*4</f>
        <v>4.6632</v>
      </c>
      <c r="I120" s="511">
        <f>$K$7*6.92</f>
        <v>6.389928</v>
      </c>
      <c r="J120" s="486">
        <f t="shared" si="12"/>
        <v>29.8</v>
      </c>
    </row>
    <row r="121" spans="1:10" ht="66.75" customHeight="1">
      <c r="A121" s="500" t="s">
        <v>83</v>
      </c>
      <c r="B121" s="510" t="s">
        <v>545</v>
      </c>
      <c r="C121" s="1011" t="s">
        <v>546</v>
      </c>
      <c r="D121" s="1012"/>
      <c r="E121" s="1012"/>
      <c r="F121" s="1013"/>
      <c r="G121" s="388" t="s">
        <v>63</v>
      </c>
      <c r="H121" s="388">
        <f>H120*2</f>
        <v>9.3264</v>
      </c>
      <c r="I121" s="511">
        <f>$K$7*17.3</f>
        <v>15.974820000000001</v>
      </c>
      <c r="J121" s="486">
        <f aca="true" t="shared" si="14" ref="J121">ROUND((H121*I121),2)</f>
        <v>148.99</v>
      </c>
    </row>
    <row r="122" spans="1:10" ht="15">
      <c r="A122" s="516"/>
      <c r="B122" s="517"/>
      <c r="C122" s="517"/>
      <c r="D122" s="517"/>
      <c r="E122" s="517"/>
      <c r="F122" s="517"/>
      <c r="G122" s="518"/>
      <c r="H122" s="518"/>
      <c r="I122" s="519" t="s">
        <v>92</v>
      </c>
      <c r="J122" s="520">
        <f>SUM(J100:J121)</f>
        <v>5363.25</v>
      </c>
    </row>
    <row r="123" spans="1:10" ht="14.25">
      <c r="A123" s="221"/>
      <c r="B123" s="222"/>
      <c r="C123" s="222"/>
      <c r="D123" s="222"/>
      <c r="E123" s="222"/>
      <c r="F123" s="222"/>
      <c r="G123" s="223"/>
      <c r="H123" s="223"/>
      <c r="I123" s="223"/>
      <c r="J123" s="175"/>
    </row>
    <row r="124" spans="1:10" ht="15.75">
      <c r="A124" s="528" t="s">
        <v>423</v>
      </c>
      <c r="B124" s="529"/>
      <c r="C124" s="529"/>
      <c r="D124" s="529"/>
      <c r="E124" s="529"/>
      <c r="F124" s="529"/>
      <c r="G124" s="529"/>
      <c r="H124" s="529"/>
      <c r="I124" s="529"/>
      <c r="J124" s="452"/>
    </row>
    <row r="125" spans="1:10" ht="52.5" customHeight="1">
      <c r="A125" s="1008" t="s">
        <v>591</v>
      </c>
      <c r="B125" s="1009"/>
      <c r="C125" s="1009"/>
      <c r="D125" s="1009"/>
      <c r="E125" s="1009"/>
      <c r="F125" s="1009"/>
      <c r="G125" s="1009"/>
      <c r="H125" s="1009"/>
      <c r="I125" s="1010"/>
      <c r="J125" s="227" t="s">
        <v>91</v>
      </c>
    </row>
    <row r="126" spans="1:10" ht="30">
      <c r="A126" s="228" t="s">
        <v>78</v>
      </c>
      <c r="B126" s="229" t="s">
        <v>79</v>
      </c>
      <c r="C126" s="1005" t="s">
        <v>13</v>
      </c>
      <c r="D126" s="1006"/>
      <c r="E126" s="1006"/>
      <c r="F126" s="1007"/>
      <c r="G126" s="228" t="s">
        <v>91</v>
      </c>
      <c r="H126" s="230" t="s">
        <v>80</v>
      </c>
      <c r="I126" s="231" t="s">
        <v>81</v>
      </c>
      <c r="J126" s="181" t="s">
        <v>82</v>
      </c>
    </row>
    <row r="127" spans="1:10" ht="14.25">
      <c r="A127" s="701"/>
      <c r="B127" s="702"/>
      <c r="C127" s="1020" t="s">
        <v>538</v>
      </c>
      <c r="D127" s="1020"/>
      <c r="E127" s="1020"/>
      <c r="F127" s="1020"/>
      <c r="G127" s="703"/>
      <c r="H127" s="703"/>
      <c r="I127" s="705"/>
      <c r="J127" s="704"/>
    </row>
    <row r="128" spans="1:10" ht="27.6" customHeight="1">
      <c r="A128" s="500" t="s">
        <v>83</v>
      </c>
      <c r="B128" s="510" t="s">
        <v>299</v>
      </c>
      <c r="C128" s="1011" t="s">
        <v>188</v>
      </c>
      <c r="D128" s="1012"/>
      <c r="E128" s="1012"/>
      <c r="F128" s="1013"/>
      <c r="G128" s="388" t="s">
        <v>226</v>
      </c>
      <c r="H128" s="388">
        <f>0.8*0.8*0.5</f>
        <v>0.32000000000000006</v>
      </c>
      <c r="I128" s="511">
        <f>$K$7*72.22</f>
        <v>66.687948</v>
      </c>
      <c r="J128" s="486">
        <f aca="true" t="shared" si="15" ref="J128:J133">ROUND((H128*I128),2)</f>
        <v>21.34</v>
      </c>
    </row>
    <row r="129" spans="1:10" ht="27.6" customHeight="1">
      <c r="A129" s="500" t="s">
        <v>83</v>
      </c>
      <c r="B129" s="510" t="s">
        <v>300</v>
      </c>
      <c r="C129" s="1011" t="s">
        <v>311</v>
      </c>
      <c r="D129" s="1012"/>
      <c r="E129" s="1012"/>
      <c r="F129" s="1013"/>
      <c r="G129" s="388" t="s">
        <v>63</v>
      </c>
      <c r="H129" s="388">
        <f>0.6*0.6</f>
        <v>0.36</v>
      </c>
      <c r="I129" s="511">
        <f>$K$7*15.27</f>
        <v>14.100318</v>
      </c>
      <c r="J129" s="486">
        <f t="shared" si="15"/>
        <v>5.08</v>
      </c>
    </row>
    <row r="130" spans="1:10" ht="40.5" customHeight="1">
      <c r="A130" s="500" t="s">
        <v>83</v>
      </c>
      <c r="B130" s="510" t="s">
        <v>301</v>
      </c>
      <c r="C130" s="1011" t="s">
        <v>312</v>
      </c>
      <c r="D130" s="1012"/>
      <c r="E130" s="1012"/>
      <c r="F130" s="1013"/>
      <c r="G130" s="388" t="s">
        <v>63</v>
      </c>
      <c r="H130" s="388">
        <f>0.6*4*0.5</f>
        <v>1.2</v>
      </c>
      <c r="I130" s="511">
        <f>$K$7*58.26</f>
        <v>53.797284</v>
      </c>
      <c r="J130" s="486">
        <f t="shared" si="15"/>
        <v>64.56</v>
      </c>
    </row>
    <row r="131" spans="1:10" ht="27.6" customHeight="1">
      <c r="A131" s="500" t="s">
        <v>83</v>
      </c>
      <c r="B131" s="510" t="s">
        <v>303</v>
      </c>
      <c r="C131" s="1011" t="s">
        <v>225</v>
      </c>
      <c r="D131" s="1012"/>
      <c r="E131" s="1012"/>
      <c r="F131" s="1013"/>
      <c r="G131" s="388" t="s">
        <v>226</v>
      </c>
      <c r="H131" s="388">
        <f>0.6*0.6*0.5</f>
        <v>0.18</v>
      </c>
      <c r="I131" s="511">
        <f>$K$7*408.11</f>
        <v>376.848774</v>
      </c>
      <c r="J131" s="486">
        <f t="shared" si="15"/>
        <v>67.83</v>
      </c>
    </row>
    <row r="132" spans="1:10" ht="27.6" customHeight="1">
      <c r="A132" s="500" t="s">
        <v>83</v>
      </c>
      <c r="B132" s="510" t="s">
        <v>418</v>
      </c>
      <c r="C132" s="1011" t="s">
        <v>419</v>
      </c>
      <c r="D132" s="1012"/>
      <c r="E132" s="1012"/>
      <c r="F132" s="1013"/>
      <c r="G132" s="388" t="s">
        <v>226</v>
      </c>
      <c r="H132" s="388">
        <f>H131</f>
        <v>0.18</v>
      </c>
      <c r="I132" s="511">
        <f>$K$7*163.16</f>
        <v>150.661944</v>
      </c>
      <c r="J132" s="486">
        <f t="shared" si="15"/>
        <v>27.12</v>
      </c>
    </row>
    <row r="133" spans="1:10" ht="14.25">
      <c r="A133" s="500" t="s">
        <v>83</v>
      </c>
      <c r="B133" s="510" t="s">
        <v>304</v>
      </c>
      <c r="C133" s="1017" t="s">
        <v>314</v>
      </c>
      <c r="D133" s="1018"/>
      <c r="E133" s="1018"/>
      <c r="F133" s="1019"/>
      <c r="G133" s="388" t="s">
        <v>226</v>
      </c>
      <c r="H133" s="388">
        <f>H128-H131</f>
        <v>0.14000000000000007</v>
      </c>
      <c r="I133" s="511">
        <f>$K$7*37.99</f>
        <v>35.079966</v>
      </c>
      <c r="J133" s="486">
        <f t="shared" si="15"/>
        <v>4.91</v>
      </c>
    </row>
    <row r="134" spans="1:10" ht="14.25">
      <c r="A134" s="701"/>
      <c r="B134" s="702"/>
      <c r="C134" s="1020" t="s">
        <v>433</v>
      </c>
      <c r="D134" s="1020"/>
      <c r="E134" s="1020"/>
      <c r="F134" s="1020"/>
      <c r="G134" s="703"/>
      <c r="H134" s="703"/>
      <c r="I134" s="705"/>
      <c r="J134" s="704"/>
    </row>
    <row r="135" spans="1:10" ht="33" customHeight="1">
      <c r="A135" s="521" t="s">
        <v>249</v>
      </c>
      <c r="B135" s="463" t="s">
        <v>292</v>
      </c>
      <c r="C135" s="1011" t="s">
        <v>293</v>
      </c>
      <c r="D135" s="1012"/>
      <c r="E135" s="1012"/>
      <c r="F135" s="1013"/>
      <c r="G135" s="522" t="s">
        <v>247</v>
      </c>
      <c r="H135" s="522">
        <v>3.55</v>
      </c>
      <c r="I135" s="486">
        <f>$K$7*39.36</f>
        <v>36.345024</v>
      </c>
      <c r="J135" s="486">
        <f>ROUND((H135*I135),2)</f>
        <v>129.02</v>
      </c>
    </row>
    <row r="136" spans="1:10" ht="33" customHeight="1">
      <c r="A136" s="500" t="s">
        <v>249</v>
      </c>
      <c r="B136" s="510" t="s">
        <v>269</v>
      </c>
      <c r="C136" s="1011" t="s">
        <v>273</v>
      </c>
      <c r="D136" s="1012"/>
      <c r="E136" s="1012"/>
      <c r="F136" s="1013"/>
      <c r="G136" s="388" t="s">
        <v>277</v>
      </c>
      <c r="H136" s="388">
        <f>0.05*2</f>
        <v>0.1</v>
      </c>
      <c r="I136" s="511">
        <f>$K$7*8.53</f>
        <v>7.876601999999999</v>
      </c>
      <c r="J136" s="486">
        <f aca="true" t="shared" si="16" ref="J136:J143">ROUND((H136*I136),2)</f>
        <v>0.79</v>
      </c>
    </row>
    <row r="137" spans="1:10" ht="33" customHeight="1">
      <c r="A137" s="500" t="s">
        <v>249</v>
      </c>
      <c r="B137" s="510" t="s">
        <v>270</v>
      </c>
      <c r="C137" s="1011" t="s">
        <v>274</v>
      </c>
      <c r="D137" s="1012"/>
      <c r="E137" s="1012"/>
      <c r="F137" s="1013"/>
      <c r="G137" s="388" t="s">
        <v>244</v>
      </c>
      <c r="H137" s="388">
        <v>4</v>
      </c>
      <c r="I137" s="511">
        <f>$K$7*1.55</f>
        <v>1.43127</v>
      </c>
      <c r="J137" s="486">
        <f t="shared" si="16"/>
        <v>5.73</v>
      </c>
    </row>
    <row r="138" spans="1:10" ht="33" customHeight="1">
      <c r="A138" s="500" t="s">
        <v>249</v>
      </c>
      <c r="B138" s="510" t="s">
        <v>271</v>
      </c>
      <c r="C138" s="1011" t="s">
        <v>275</v>
      </c>
      <c r="D138" s="1012"/>
      <c r="E138" s="1012"/>
      <c r="F138" s="1013"/>
      <c r="G138" s="388" t="s">
        <v>244</v>
      </c>
      <c r="H138" s="388">
        <v>4</v>
      </c>
      <c r="I138" s="511">
        <f>$K$7*0.39</f>
        <v>0.360126</v>
      </c>
      <c r="J138" s="486">
        <f t="shared" si="16"/>
        <v>1.44</v>
      </c>
    </row>
    <row r="139" spans="1:10" ht="33" customHeight="1">
      <c r="A139" s="500" t="s">
        <v>83</v>
      </c>
      <c r="B139" s="510" t="s">
        <v>272</v>
      </c>
      <c r="C139" s="1011" t="s">
        <v>276</v>
      </c>
      <c r="D139" s="1012"/>
      <c r="E139" s="1012"/>
      <c r="F139" s="1013"/>
      <c r="G139" s="388" t="s">
        <v>69</v>
      </c>
      <c r="H139" s="388">
        <f>0.16+0.2+0.05+0.05</f>
        <v>0.45999999999999996</v>
      </c>
      <c r="I139" s="511">
        <f>$K$7*44.78</f>
        <v>41.349852</v>
      </c>
      <c r="J139" s="486">
        <f t="shared" si="16"/>
        <v>19.02</v>
      </c>
    </row>
    <row r="140" spans="1:10" ht="33" customHeight="1">
      <c r="A140" s="500" t="s">
        <v>83</v>
      </c>
      <c r="B140" s="510">
        <v>88315</v>
      </c>
      <c r="C140" s="1011" t="s">
        <v>103</v>
      </c>
      <c r="D140" s="1012"/>
      <c r="E140" s="1012"/>
      <c r="F140" s="1013"/>
      <c r="G140" s="388" t="s">
        <v>88</v>
      </c>
      <c r="H140" s="388">
        <v>0.6</v>
      </c>
      <c r="I140" s="511">
        <f>$K$7*19.98</f>
        <v>18.449532</v>
      </c>
      <c r="J140" s="486">
        <f t="shared" si="16"/>
        <v>11.07</v>
      </c>
    </row>
    <row r="141" spans="1:10" ht="33" customHeight="1">
      <c r="A141" s="500" t="s">
        <v>83</v>
      </c>
      <c r="B141" s="510">
        <v>88251</v>
      </c>
      <c r="C141" s="1011" t="s">
        <v>104</v>
      </c>
      <c r="D141" s="1012"/>
      <c r="E141" s="1012"/>
      <c r="F141" s="1013"/>
      <c r="G141" s="388" t="s">
        <v>88</v>
      </c>
      <c r="H141" s="388">
        <v>0.6</v>
      </c>
      <c r="I141" s="511">
        <f>$K$7*16.2</f>
        <v>14.95908</v>
      </c>
      <c r="J141" s="486">
        <f t="shared" si="16"/>
        <v>8.98</v>
      </c>
    </row>
    <row r="142" spans="1:10" ht="43.5" customHeight="1">
      <c r="A142" s="500" t="s">
        <v>83</v>
      </c>
      <c r="B142" s="510" t="s">
        <v>543</v>
      </c>
      <c r="C142" s="1011" t="s">
        <v>544</v>
      </c>
      <c r="D142" s="1012"/>
      <c r="E142" s="1012"/>
      <c r="F142" s="1013"/>
      <c r="G142" s="388" t="s">
        <v>63</v>
      </c>
      <c r="H142" s="388">
        <f>0.16*3.35*2</f>
        <v>1.072</v>
      </c>
      <c r="I142" s="511">
        <f>$K$7*6.92</f>
        <v>6.389928</v>
      </c>
      <c r="J142" s="486">
        <f t="shared" si="16"/>
        <v>6.85</v>
      </c>
    </row>
    <row r="143" spans="1:10" ht="37.5" customHeight="1">
      <c r="A143" s="500" t="s">
        <v>83</v>
      </c>
      <c r="B143" s="510" t="s">
        <v>545</v>
      </c>
      <c r="C143" s="1011" t="s">
        <v>546</v>
      </c>
      <c r="D143" s="1012"/>
      <c r="E143" s="1012"/>
      <c r="F143" s="1013"/>
      <c r="G143" s="388" t="s">
        <v>63</v>
      </c>
      <c r="H143" s="388">
        <f>H142</f>
        <v>1.072</v>
      </c>
      <c r="I143" s="511">
        <f>$K$7*17.3</f>
        <v>15.974820000000001</v>
      </c>
      <c r="J143" s="486">
        <f t="shared" si="16"/>
        <v>17.13</v>
      </c>
    </row>
    <row r="144" spans="1:10" ht="15">
      <c r="A144" s="516"/>
      <c r="B144" s="517"/>
      <c r="C144" s="517"/>
      <c r="D144" s="517"/>
      <c r="E144" s="517"/>
      <c r="F144" s="517"/>
      <c r="G144" s="518"/>
      <c r="H144" s="518"/>
      <c r="I144" s="519" t="s">
        <v>92</v>
      </c>
      <c r="J144" s="520">
        <f>SUM(J127:J143)</f>
        <v>390.87000000000006</v>
      </c>
    </row>
    <row r="145" spans="1:10" ht="14.25">
      <c r="A145" s="221"/>
      <c r="B145" s="222"/>
      <c r="C145" s="222"/>
      <c r="D145" s="222"/>
      <c r="E145" s="222"/>
      <c r="F145" s="222"/>
      <c r="G145" s="223"/>
      <c r="H145" s="223"/>
      <c r="I145" s="223"/>
      <c r="J145" s="175"/>
    </row>
    <row r="146" spans="1:10" ht="15.75">
      <c r="A146" s="528" t="s">
        <v>435</v>
      </c>
      <c r="B146" s="529"/>
      <c r="C146" s="529"/>
      <c r="D146" s="529"/>
      <c r="E146" s="529"/>
      <c r="F146" s="529"/>
      <c r="G146" s="529"/>
      <c r="H146" s="529"/>
      <c r="I146" s="529"/>
      <c r="J146" s="452"/>
    </row>
    <row r="147" spans="1:10" ht="37.5" customHeight="1">
      <c r="A147" s="1008" t="s">
        <v>661</v>
      </c>
      <c r="B147" s="1009"/>
      <c r="C147" s="1009"/>
      <c r="D147" s="1009"/>
      <c r="E147" s="1009"/>
      <c r="F147" s="1009"/>
      <c r="G147" s="1009"/>
      <c r="H147" s="1009"/>
      <c r="I147" s="1010"/>
      <c r="J147" s="227" t="s">
        <v>91</v>
      </c>
    </row>
    <row r="148" spans="1:10" ht="30">
      <c r="A148" s="228" t="s">
        <v>78</v>
      </c>
      <c r="B148" s="229" t="s">
        <v>79</v>
      </c>
      <c r="C148" s="1005" t="s">
        <v>13</v>
      </c>
      <c r="D148" s="1006"/>
      <c r="E148" s="1006"/>
      <c r="F148" s="1007"/>
      <c r="G148" s="228" t="s">
        <v>91</v>
      </c>
      <c r="H148" s="230" t="s">
        <v>80</v>
      </c>
      <c r="I148" s="231" t="s">
        <v>81</v>
      </c>
      <c r="J148" s="181" t="s">
        <v>82</v>
      </c>
    </row>
    <row r="149" spans="1:10" ht="12.75">
      <c r="A149" s="521"/>
      <c r="B149" s="463"/>
      <c r="C149" s="591" t="s">
        <v>108</v>
      </c>
      <c r="D149" s="589"/>
      <c r="E149" s="589"/>
      <c r="F149" s="590"/>
      <c r="G149" s="522"/>
      <c r="H149" s="522"/>
      <c r="I149" s="486"/>
      <c r="J149" s="486"/>
    </row>
    <row r="150" spans="1:10" ht="28.5" customHeight="1">
      <c r="A150" s="500" t="s">
        <v>83</v>
      </c>
      <c r="B150" s="510">
        <v>93358</v>
      </c>
      <c r="C150" s="1011" t="s">
        <v>163</v>
      </c>
      <c r="D150" s="1012"/>
      <c r="E150" s="1012"/>
      <c r="F150" s="1013"/>
      <c r="G150" s="592" t="s">
        <v>226</v>
      </c>
      <c r="H150" s="388">
        <f>(0.5+0.1)*(0.2+0.1)*(0.2+0.15+0.05)*2</f>
        <v>0.14400000000000002</v>
      </c>
      <c r="I150" s="511">
        <f>$K$7*62.66</f>
        <v>57.860243999999994</v>
      </c>
      <c r="J150" s="486">
        <f aca="true" t="shared" si="17" ref="J150:J153">ROUND((H150*I150),2)</f>
        <v>8.33</v>
      </c>
    </row>
    <row r="151" spans="1:10" ht="28.5" customHeight="1">
      <c r="A151" s="500" t="s">
        <v>83</v>
      </c>
      <c r="B151" s="510">
        <v>96619</v>
      </c>
      <c r="C151" s="1011" t="s">
        <v>167</v>
      </c>
      <c r="D151" s="1012"/>
      <c r="E151" s="1012"/>
      <c r="F151" s="1013"/>
      <c r="G151" s="592" t="s">
        <v>63</v>
      </c>
      <c r="H151" s="388">
        <f>(0.5)*(0.2)*2</f>
        <v>0.2</v>
      </c>
      <c r="I151" s="511">
        <f>$K$7*25.46</f>
        <v>23.509764</v>
      </c>
      <c r="J151" s="486">
        <f t="shared" si="17"/>
        <v>4.7</v>
      </c>
    </row>
    <row r="152" spans="1:10" ht="42" customHeight="1">
      <c r="A152" s="500" t="s">
        <v>83</v>
      </c>
      <c r="B152" s="510">
        <v>96535</v>
      </c>
      <c r="C152" s="1011" t="s">
        <v>105</v>
      </c>
      <c r="D152" s="1012"/>
      <c r="E152" s="1012"/>
      <c r="F152" s="1013"/>
      <c r="G152" s="592" t="s">
        <v>63</v>
      </c>
      <c r="H152" s="388">
        <v>0.9</v>
      </c>
      <c r="I152" s="511">
        <f>$K$7*102.17</f>
        <v>94.343778</v>
      </c>
      <c r="J152" s="486">
        <f t="shared" si="17"/>
        <v>84.91</v>
      </c>
    </row>
    <row r="153" spans="1:10" ht="28.5" customHeight="1">
      <c r="A153" s="500" t="s">
        <v>83</v>
      </c>
      <c r="B153" s="510">
        <v>73361</v>
      </c>
      <c r="C153" s="1011" t="s">
        <v>61</v>
      </c>
      <c r="D153" s="1012"/>
      <c r="E153" s="1012"/>
      <c r="F153" s="1013"/>
      <c r="G153" s="592" t="s">
        <v>226</v>
      </c>
      <c r="H153" s="388">
        <v>0.05</v>
      </c>
      <c r="I153" s="511">
        <f>$K$7*415.35</f>
        <v>383.53419</v>
      </c>
      <c r="J153" s="486">
        <f t="shared" si="17"/>
        <v>19.18</v>
      </c>
    </row>
    <row r="154" spans="1:10" ht="14.25">
      <c r="A154" s="500"/>
      <c r="B154" s="510"/>
      <c r="C154" s="591" t="s">
        <v>166</v>
      </c>
      <c r="D154" s="589"/>
      <c r="E154" s="589"/>
      <c r="F154" s="590"/>
      <c r="G154" s="388"/>
      <c r="H154" s="388"/>
      <c r="I154" s="511"/>
      <c r="J154" s="486"/>
    </row>
    <row r="155" spans="1:10" ht="41.25" customHeight="1">
      <c r="A155" s="500" t="s">
        <v>659</v>
      </c>
      <c r="B155" s="510">
        <v>92263</v>
      </c>
      <c r="C155" s="1011" t="s">
        <v>74</v>
      </c>
      <c r="D155" s="1012"/>
      <c r="E155" s="1012"/>
      <c r="F155" s="1013"/>
      <c r="G155" s="592" t="s">
        <v>63</v>
      </c>
      <c r="H155" s="388">
        <v>1.72</v>
      </c>
      <c r="I155" s="511">
        <f>$K$7*107.89</f>
        <v>99.625626</v>
      </c>
      <c r="J155" s="486">
        <f aca="true" t="shared" si="18" ref="J155:J161">ROUND((H155*I155),2)</f>
        <v>171.36</v>
      </c>
    </row>
    <row r="156" spans="1:10" ht="28.5" customHeight="1">
      <c r="A156" s="500" t="s">
        <v>659</v>
      </c>
      <c r="B156" s="510">
        <v>94963</v>
      </c>
      <c r="C156" s="1011" t="s">
        <v>230</v>
      </c>
      <c r="D156" s="1012"/>
      <c r="E156" s="1012"/>
      <c r="F156" s="1013"/>
      <c r="G156" s="592" t="s">
        <v>226</v>
      </c>
      <c r="H156" s="388">
        <v>0.14</v>
      </c>
      <c r="I156" s="511">
        <f>$K$7*365.63</f>
        <v>337.622742</v>
      </c>
      <c r="J156" s="486">
        <f t="shared" si="18"/>
        <v>47.27</v>
      </c>
    </row>
    <row r="157" spans="1:10" ht="38.25" customHeight="1">
      <c r="A157" s="500" t="s">
        <v>659</v>
      </c>
      <c r="B157" s="510">
        <v>92915</v>
      </c>
      <c r="C157" s="1011" t="s">
        <v>169</v>
      </c>
      <c r="D157" s="1012"/>
      <c r="E157" s="1012"/>
      <c r="F157" s="1013"/>
      <c r="G157" s="592" t="s">
        <v>64</v>
      </c>
      <c r="H157" s="388">
        <v>3.78</v>
      </c>
      <c r="I157" s="511">
        <f>$K$7*10.96</f>
        <v>10.120464</v>
      </c>
      <c r="J157" s="486">
        <f t="shared" si="18"/>
        <v>38.26</v>
      </c>
    </row>
    <row r="158" spans="1:10" ht="41.25" customHeight="1">
      <c r="A158" s="500" t="s">
        <v>659</v>
      </c>
      <c r="B158" s="510">
        <v>92917</v>
      </c>
      <c r="C158" s="1011" t="s">
        <v>170</v>
      </c>
      <c r="D158" s="1012"/>
      <c r="E158" s="1012"/>
      <c r="F158" s="1013"/>
      <c r="G158" s="592" t="s">
        <v>64</v>
      </c>
      <c r="H158" s="388">
        <v>11.73</v>
      </c>
      <c r="I158" s="511">
        <f>$K$7*8.8</f>
        <v>8.12592</v>
      </c>
      <c r="J158" s="486">
        <f t="shared" si="18"/>
        <v>95.32</v>
      </c>
    </row>
    <row r="159" spans="1:10" ht="14.25">
      <c r="A159" s="500"/>
      <c r="B159" s="510"/>
      <c r="C159" s="591" t="s">
        <v>664</v>
      </c>
      <c r="D159" s="589"/>
      <c r="E159" s="589"/>
      <c r="F159" s="590"/>
      <c r="G159" s="388"/>
      <c r="H159" s="388"/>
      <c r="I159" s="511"/>
      <c r="J159" s="486"/>
    </row>
    <row r="160" spans="1:10" ht="45" customHeight="1">
      <c r="A160" s="698" t="s">
        <v>660</v>
      </c>
      <c r="B160" s="510" t="s">
        <v>657</v>
      </c>
      <c r="C160" s="1011" t="s">
        <v>658</v>
      </c>
      <c r="D160" s="1012"/>
      <c r="E160" s="1012"/>
      <c r="F160" s="1013"/>
      <c r="G160" s="388" t="s">
        <v>179</v>
      </c>
      <c r="H160" s="388">
        <v>2</v>
      </c>
      <c r="I160" s="511">
        <f>$K$7*25.37</f>
        <v>23.426658</v>
      </c>
      <c r="J160" s="486">
        <f aca="true" t="shared" si="19" ref="J160">ROUND((H160*I160),2)</f>
        <v>46.85</v>
      </c>
    </row>
    <row r="161" spans="1:10" ht="45" customHeight="1">
      <c r="A161" s="500" t="s">
        <v>659</v>
      </c>
      <c r="B161" s="510" t="s">
        <v>662</v>
      </c>
      <c r="C161" s="1011" t="s">
        <v>663</v>
      </c>
      <c r="D161" s="1012"/>
      <c r="E161" s="1012"/>
      <c r="F161" s="1013"/>
      <c r="G161" s="388" t="s">
        <v>88</v>
      </c>
      <c r="H161" s="388">
        <v>3</v>
      </c>
      <c r="I161" s="511">
        <f>$K$7*21.19</f>
        <v>19.566846</v>
      </c>
      <c r="J161" s="486">
        <f t="shared" si="18"/>
        <v>58.7</v>
      </c>
    </row>
    <row r="162" spans="1:10" ht="15">
      <c r="A162" s="516"/>
      <c r="B162" s="517"/>
      <c r="C162" s="517"/>
      <c r="D162" s="517"/>
      <c r="E162" s="517"/>
      <c r="F162" s="517"/>
      <c r="G162" s="518"/>
      <c r="H162" s="518"/>
      <c r="I162" s="519" t="s">
        <v>92</v>
      </c>
      <c r="J162" s="520">
        <f>SUM(J149:J161)</f>
        <v>574.88</v>
      </c>
    </row>
    <row r="164" spans="1:10" ht="15.75">
      <c r="A164" s="528" t="s">
        <v>438</v>
      </c>
      <c r="B164" s="529"/>
      <c r="C164" s="529"/>
      <c r="D164" s="529"/>
      <c r="E164" s="529"/>
      <c r="F164" s="529"/>
      <c r="G164" s="529"/>
      <c r="H164" s="529"/>
      <c r="I164" s="529"/>
      <c r="J164" s="452"/>
    </row>
    <row r="165" spans="1:10" ht="49.5" customHeight="1">
      <c r="A165" s="1002" t="s">
        <v>777</v>
      </c>
      <c r="B165" s="1003"/>
      <c r="C165" s="1003"/>
      <c r="D165" s="1003"/>
      <c r="E165" s="1003"/>
      <c r="F165" s="1003"/>
      <c r="G165" s="1003"/>
      <c r="H165" s="1003"/>
      <c r="I165" s="1004"/>
      <c r="J165" s="227" t="s">
        <v>91</v>
      </c>
    </row>
    <row r="166" spans="1:10" ht="30">
      <c r="A166" s="228" t="s">
        <v>78</v>
      </c>
      <c r="B166" s="229" t="s">
        <v>79</v>
      </c>
      <c r="C166" s="1005" t="s">
        <v>13</v>
      </c>
      <c r="D166" s="1006"/>
      <c r="E166" s="1006"/>
      <c r="F166" s="1007"/>
      <c r="G166" s="228" t="s">
        <v>91</v>
      </c>
      <c r="H166" s="230" t="s">
        <v>80</v>
      </c>
      <c r="I166" s="231" t="s">
        <v>81</v>
      </c>
      <c r="J166" s="181" t="s">
        <v>82</v>
      </c>
    </row>
    <row r="167" spans="1:10" ht="45" customHeight="1">
      <c r="A167" s="500" t="s">
        <v>520</v>
      </c>
      <c r="B167" s="510">
        <v>98562</v>
      </c>
      <c r="C167" s="1011" t="s">
        <v>776</v>
      </c>
      <c r="D167" s="1012"/>
      <c r="E167" s="1012"/>
      <c r="F167" s="1013"/>
      <c r="G167" s="592" t="s">
        <v>63</v>
      </c>
      <c r="H167" s="388">
        <v>2.94</v>
      </c>
      <c r="I167" s="511">
        <f>$K$7*35.71</f>
        <v>32.974614</v>
      </c>
      <c r="J167" s="486">
        <f aca="true" t="shared" si="20" ref="J167:J175">ROUND((H167*I167),2)</f>
        <v>96.95</v>
      </c>
    </row>
    <row r="168" spans="1:10" ht="57" customHeight="1">
      <c r="A168" s="500" t="s">
        <v>520</v>
      </c>
      <c r="B168" s="510">
        <v>101159</v>
      </c>
      <c r="C168" s="1011" t="s">
        <v>624</v>
      </c>
      <c r="D168" s="1012"/>
      <c r="E168" s="1012"/>
      <c r="F168" s="1013"/>
      <c r="G168" s="592" t="s">
        <v>63</v>
      </c>
      <c r="H168" s="388">
        <v>1.63</v>
      </c>
      <c r="I168" s="511">
        <f>$K$7*99.34</f>
        <v>91.730556</v>
      </c>
      <c r="J168" s="486">
        <f t="shared" si="20"/>
        <v>149.52</v>
      </c>
    </row>
    <row r="169" spans="1:10" ht="57" customHeight="1">
      <c r="A169" s="500" t="s">
        <v>520</v>
      </c>
      <c r="B169" s="510">
        <v>87894</v>
      </c>
      <c r="C169" s="1011" t="s">
        <v>389</v>
      </c>
      <c r="D169" s="1012"/>
      <c r="E169" s="1012"/>
      <c r="F169" s="1013"/>
      <c r="G169" s="592" t="s">
        <v>63</v>
      </c>
      <c r="H169" s="388">
        <v>3.58</v>
      </c>
      <c r="I169" s="511">
        <f>$K$7*5.3</f>
        <v>4.89402</v>
      </c>
      <c r="J169" s="486">
        <f t="shared" si="20"/>
        <v>17.52</v>
      </c>
    </row>
    <row r="170" spans="1:10" ht="57" customHeight="1">
      <c r="A170" s="500" t="s">
        <v>520</v>
      </c>
      <c r="B170" s="510">
        <v>87529</v>
      </c>
      <c r="C170" s="1011" t="s">
        <v>233</v>
      </c>
      <c r="D170" s="1012"/>
      <c r="E170" s="1012"/>
      <c r="F170" s="1013"/>
      <c r="G170" s="592" t="s">
        <v>63</v>
      </c>
      <c r="H170" s="388">
        <f>H169</f>
        <v>3.58</v>
      </c>
      <c r="I170" s="511">
        <f>$K$7*31.18</f>
        <v>28.791612</v>
      </c>
      <c r="J170" s="486">
        <f t="shared" si="20"/>
        <v>103.07</v>
      </c>
    </row>
    <row r="171" spans="1:10" ht="29.25" customHeight="1">
      <c r="A171" s="500" t="s">
        <v>520</v>
      </c>
      <c r="B171" s="510">
        <v>88483</v>
      </c>
      <c r="C171" s="1011" t="s">
        <v>234</v>
      </c>
      <c r="D171" s="1012"/>
      <c r="E171" s="1012"/>
      <c r="F171" s="1013"/>
      <c r="G171" s="592" t="s">
        <v>63</v>
      </c>
      <c r="H171" s="388">
        <v>1.94</v>
      </c>
      <c r="I171" s="511">
        <f>$K$7*2.4</f>
        <v>2.21616</v>
      </c>
      <c r="J171" s="486">
        <f t="shared" si="20"/>
        <v>4.3</v>
      </c>
    </row>
    <row r="172" spans="1:10" ht="40.5" customHeight="1">
      <c r="A172" s="500" t="s">
        <v>520</v>
      </c>
      <c r="B172" s="510" t="s">
        <v>281</v>
      </c>
      <c r="C172" s="1011" t="s">
        <v>282</v>
      </c>
      <c r="D172" s="1012"/>
      <c r="E172" s="1012"/>
      <c r="F172" s="1013"/>
      <c r="G172" s="592" t="s">
        <v>63</v>
      </c>
      <c r="H172" s="388">
        <f>H171</f>
        <v>1.94</v>
      </c>
      <c r="I172" s="511">
        <f>$K$7*18.82</f>
        <v>17.378388</v>
      </c>
      <c r="J172" s="486">
        <f t="shared" si="20"/>
        <v>33.71</v>
      </c>
    </row>
    <row r="173" spans="1:10" ht="28.5">
      <c r="A173" s="698" t="s">
        <v>135</v>
      </c>
      <c r="B173" s="510">
        <v>7253</v>
      </c>
      <c r="C173" s="1011" t="s">
        <v>235</v>
      </c>
      <c r="D173" s="1012"/>
      <c r="E173" s="1012"/>
      <c r="F173" s="1013"/>
      <c r="G173" s="592" t="s">
        <v>232</v>
      </c>
      <c r="H173" s="388">
        <v>0.56</v>
      </c>
      <c r="I173" s="511">
        <f>$K$7*167.14</f>
        <v>154.337076</v>
      </c>
      <c r="J173" s="486">
        <f t="shared" si="20"/>
        <v>86.43</v>
      </c>
    </row>
    <row r="174" spans="1:10" ht="14.25">
      <c r="A174" s="500"/>
      <c r="B174" s="510"/>
      <c r="C174" s="588"/>
      <c r="D174" s="589"/>
      <c r="E174" s="589"/>
      <c r="F174" s="590"/>
      <c r="G174" s="388"/>
      <c r="H174" s="388"/>
      <c r="I174" s="511"/>
      <c r="J174" s="486">
        <f aca="true" t="shared" si="21" ref="J174">ROUND((H174*I174),2)</f>
        <v>0</v>
      </c>
    </row>
    <row r="175" spans="1:10" ht="14.25">
      <c r="A175" s="500"/>
      <c r="B175" s="510"/>
      <c r="C175" s="588"/>
      <c r="D175" s="589"/>
      <c r="E175" s="589"/>
      <c r="F175" s="590"/>
      <c r="G175" s="388"/>
      <c r="H175" s="388"/>
      <c r="I175" s="511"/>
      <c r="J175" s="486">
        <f t="shared" si="20"/>
        <v>0</v>
      </c>
    </row>
    <row r="176" spans="1:10" ht="15">
      <c r="A176" s="516"/>
      <c r="B176" s="517"/>
      <c r="C176" s="517"/>
      <c r="D176" s="517"/>
      <c r="E176" s="517"/>
      <c r="F176" s="517"/>
      <c r="G176" s="518"/>
      <c r="H176" s="518"/>
      <c r="I176" s="519" t="s">
        <v>92</v>
      </c>
      <c r="J176" s="520">
        <f>SUM(J167:J175)</f>
        <v>491.5</v>
      </c>
    </row>
    <row r="178" spans="1:10" ht="15.75">
      <c r="A178" s="528" t="s">
        <v>441</v>
      </c>
      <c r="B178" s="529"/>
      <c r="C178" s="529"/>
      <c r="D178" s="529"/>
      <c r="E178" s="529"/>
      <c r="F178" s="529"/>
      <c r="G178" s="529"/>
      <c r="H178" s="529"/>
      <c r="I178" s="529"/>
      <c r="J178" s="452"/>
    </row>
    <row r="179" spans="1:10" ht="48" customHeight="1">
      <c r="A179" s="1002" t="s">
        <v>778</v>
      </c>
      <c r="B179" s="1003"/>
      <c r="C179" s="1003"/>
      <c r="D179" s="1003"/>
      <c r="E179" s="1003"/>
      <c r="F179" s="1003"/>
      <c r="G179" s="1003"/>
      <c r="H179" s="1003"/>
      <c r="I179" s="1004"/>
      <c r="J179" s="227" t="s">
        <v>91</v>
      </c>
    </row>
    <row r="180" spans="1:10" ht="30">
      <c r="A180" s="228" t="s">
        <v>78</v>
      </c>
      <c r="B180" s="229" t="s">
        <v>79</v>
      </c>
      <c r="C180" s="1005" t="s">
        <v>13</v>
      </c>
      <c r="D180" s="1006"/>
      <c r="E180" s="1006"/>
      <c r="F180" s="1007"/>
      <c r="G180" s="228" t="s">
        <v>91</v>
      </c>
      <c r="H180" s="230" t="s">
        <v>80</v>
      </c>
      <c r="I180" s="231" t="s">
        <v>81</v>
      </c>
      <c r="J180" s="181" t="s">
        <v>82</v>
      </c>
    </row>
    <row r="181" spans="1:10" ht="29.25" customHeight="1">
      <c r="A181" s="500" t="s">
        <v>520</v>
      </c>
      <c r="B181" s="510">
        <v>93358</v>
      </c>
      <c r="C181" s="999" t="s">
        <v>163</v>
      </c>
      <c r="D181" s="1000"/>
      <c r="E181" s="1000"/>
      <c r="F181" s="1001"/>
      <c r="G181" s="592" t="s">
        <v>226</v>
      </c>
      <c r="H181" s="388">
        <f>12.88*(0.2+0.1)*(0.35+0.05)</f>
        <v>1.5456</v>
      </c>
      <c r="I181" s="511">
        <f>$K$7*62.66</f>
        <v>57.860243999999994</v>
      </c>
      <c r="J181" s="486">
        <f aca="true" t="shared" si="22" ref="J181:J184">ROUND((H181*I181),2)</f>
        <v>89.43</v>
      </c>
    </row>
    <row r="182" spans="1:10" ht="29.25" customHeight="1">
      <c r="A182" s="500" t="s">
        <v>520</v>
      </c>
      <c r="B182" s="510">
        <v>96619</v>
      </c>
      <c r="C182" s="999" t="s">
        <v>167</v>
      </c>
      <c r="D182" s="1000"/>
      <c r="E182" s="1000"/>
      <c r="F182" s="1001"/>
      <c r="G182" s="592" t="s">
        <v>63</v>
      </c>
      <c r="H182" s="388">
        <v>2.58</v>
      </c>
      <c r="I182" s="511">
        <f>$K$7*25.46</f>
        <v>23.509764</v>
      </c>
      <c r="J182" s="486">
        <f t="shared" si="22"/>
        <v>60.66</v>
      </c>
    </row>
    <row r="183" spans="1:10" ht="43.5" customHeight="1">
      <c r="A183" s="500" t="s">
        <v>520</v>
      </c>
      <c r="B183" s="510">
        <v>96536</v>
      </c>
      <c r="C183" s="999" t="s">
        <v>140</v>
      </c>
      <c r="D183" s="1000"/>
      <c r="E183" s="1000"/>
      <c r="F183" s="1001"/>
      <c r="G183" s="592" t="s">
        <v>63</v>
      </c>
      <c r="H183" s="388">
        <f>9/2</f>
        <v>4.5</v>
      </c>
      <c r="I183" s="511">
        <f>$K$7*49.52</f>
        <v>45.726768</v>
      </c>
      <c r="J183" s="486">
        <f t="shared" si="22"/>
        <v>205.77</v>
      </c>
    </row>
    <row r="184" spans="1:10" ht="29.25" customHeight="1">
      <c r="A184" s="500" t="s">
        <v>520</v>
      </c>
      <c r="B184" s="510">
        <v>73361</v>
      </c>
      <c r="C184" s="999" t="s">
        <v>61</v>
      </c>
      <c r="D184" s="1000"/>
      <c r="E184" s="1000"/>
      <c r="F184" s="1001"/>
      <c r="G184" s="592" t="s">
        <v>226</v>
      </c>
      <c r="H184" s="388">
        <v>0.91</v>
      </c>
      <c r="I184" s="511">
        <f>$K$7*415.35</f>
        <v>383.53419</v>
      </c>
      <c r="J184" s="486">
        <f t="shared" si="22"/>
        <v>349.02</v>
      </c>
    </row>
    <row r="185" spans="1:10" ht="43.5" customHeight="1">
      <c r="A185" s="500" t="s">
        <v>520</v>
      </c>
      <c r="B185" s="510" t="s">
        <v>439</v>
      </c>
      <c r="C185" s="999" t="s">
        <v>440</v>
      </c>
      <c r="D185" s="1000"/>
      <c r="E185" s="1000"/>
      <c r="F185" s="1001"/>
      <c r="G185" s="592" t="s">
        <v>63</v>
      </c>
      <c r="H185" s="388">
        <v>11.85</v>
      </c>
      <c r="I185" s="511">
        <f>$K$7*35.71</f>
        <v>32.974614</v>
      </c>
      <c r="J185" s="486">
        <f aca="true" t="shared" si="23" ref="J185">ROUND((H185*I185),2)</f>
        <v>390.75</v>
      </c>
    </row>
    <row r="186" spans="1:10" ht="43.5" customHeight="1">
      <c r="A186" s="500" t="s">
        <v>520</v>
      </c>
      <c r="B186" s="510" t="s">
        <v>439</v>
      </c>
      <c r="C186" s="999" t="s">
        <v>775</v>
      </c>
      <c r="D186" s="1000"/>
      <c r="E186" s="1000"/>
      <c r="F186" s="1001"/>
      <c r="G186" s="592" t="s">
        <v>63</v>
      </c>
      <c r="H186" s="388">
        <f>H187</f>
        <v>7.73</v>
      </c>
      <c r="I186" s="511">
        <f>$K$7*35.71</f>
        <v>32.974614</v>
      </c>
      <c r="J186" s="486">
        <f aca="true" t="shared" si="24" ref="J186">ROUND((H186*I186),2)</f>
        <v>254.89</v>
      </c>
    </row>
    <row r="187" spans="1:10" ht="43.5" customHeight="1">
      <c r="A187" s="500" t="s">
        <v>520</v>
      </c>
      <c r="B187" s="510" t="s">
        <v>623</v>
      </c>
      <c r="C187" s="999" t="s">
        <v>624</v>
      </c>
      <c r="D187" s="1000"/>
      <c r="E187" s="1000"/>
      <c r="F187" s="1001"/>
      <c r="G187" s="592" t="s">
        <v>63</v>
      </c>
      <c r="H187" s="388">
        <v>7.73</v>
      </c>
      <c r="I187" s="511">
        <f>$K$7*99.34</f>
        <v>91.730556</v>
      </c>
      <c r="J187" s="486">
        <f aca="true" t="shared" si="25" ref="J187:J194">ROUND((H187*I187),2)</f>
        <v>709.08</v>
      </c>
    </row>
    <row r="188" spans="1:10" ht="43.5" customHeight="1">
      <c r="A188" s="500" t="s">
        <v>520</v>
      </c>
      <c r="B188" s="510">
        <v>87894</v>
      </c>
      <c r="C188" s="999" t="s">
        <v>389</v>
      </c>
      <c r="D188" s="1000"/>
      <c r="E188" s="1000"/>
      <c r="F188" s="1001"/>
      <c r="G188" s="592" t="s">
        <v>63</v>
      </c>
      <c r="H188" s="388">
        <v>16.75</v>
      </c>
      <c r="I188" s="511">
        <f>$K$7*5.3</f>
        <v>4.89402</v>
      </c>
      <c r="J188" s="486">
        <f t="shared" si="25"/>
        <v>81.97</v>
      </c>
    </row>
    <row r="189" spans="1:10" ht="63" customHeight="1">
      <c r="A189" s="500" t="s">
        <v>520</v>
      </c>
      <c r="B189" s="510">
        <v>87529</v>
      </c>
      <c r="C189" s="1011" t="s">
        <v>233</v>
      </c>
      <c r="D189" s="1012"/>
      <c r="E189" s="1012"/>
      <c r="F189" s="1013"/>
      <c r="G189" s="592" t="s">
        <v>63</v>
      </c>
      <c r="H189" s="388">
        <v>16.75</v>
      </c>
      <c r="I189" s="511">
        <f>$K$7*31.18</f>
        <v>28.791612</v>
      </c>
      <c r="J189" s="486">
        <f t="shared" si="25"/>
        <v>482.26</v>
      </c>
    </row>
    <row r="190" spans="1:10" ht="29.25" customHeight="1">
      <c r="A190" s="500" t="s">
        <v>520</v>
      </c>
      <c r="B190" s="510">
        <v>88483</v>
      </c>
      <c r="C190" s="999" t="s">
        <v>234</v>
      </c>
      <c r="D190" s="1000"/>
      <c r="E190" s="1000"/>
      <c r="F190" s="1001"/>
      <c r="G190" s="592" t="s">
        <v>63</v>
      </c>
      <c r="H190" s="388">
        <v>9.26</v>
      </c>
      <c r="I190" s="511">
        <f>$K$7*2.4</f>
        <v>2.21616</v>
      </c>
      <c r="J190" s="486">
        <f t="shared" si="25"/>
        <v>20.52</v>
      </c>
    </row>
    <row r="191" spans="1:10" ht="40.5" customHeight="1">
      <c r="A191" s="500" t="s">
        <v>520</v>
      </c>
      <c r="B191" s="510" t="s">
        <v>281</v>
      </c>
      <c r="C191" s="999" t="s">
        <v>282</v>
      </c>
      <c r="D191" s="1000"/>
      <c r="E191" s="1000"/>
      <c r="F191" s="1001"/>
      <c r="G191" s="592" t="s">
        <v>63</v>
      </c>
      <c r="H191" s="388">
        <v>9.26</v>
      </c>
      <c r="I191" s="511">
        <f>$K$7*18.82</f>
        <v>17.378388</v>
      </c>
      <c r="J191" s="486">
        <f t="shared" si="25"/>
        <v>160.92</v>
      </c>
    </row>
    <row r="192" spans="1:10" ht="29.25" customHeight="1">
      <c r="A192" s="698" t="s">
        <v>135</v>
      </c>
      <c r="B192" s="510">
        <v>7253</v>
      </c>
      <c r="C192" s="999" t="s">
        <v>235</v>
      </c>
      <c r="D192" s="1000"/>
      <c r="E192" s="1000"/>
      <c r="F192" s="1001"/>
      <c r="G192" s="592" t="s">
        <v>232</v>
      </c>
      <c r="H192" s="388">
        <v>1.2</v>
      </c>
      <c r="I192" s="511">
        <f>$K$7*167.14</f>
        <v>154.337076</v>
      </c>
      <c r="J192" s="486">
        <f aca="true" t="shared" si="26" ref="J192:J193">ROUND((H192*I192),2)</f>
        <v>185.2</v>
      </c>
    </row>
    <row r="193" spans="1:10" ht="14.25">
      <c r="A193" s="500"/>
      <c r="B193" s="510"/>
      <c r="C193" s="588"/>
      <c r="D193" s="589"/>
      <c r="E193" s="589"/>
      <c r="F193" s="590"/>
      <c r="G193" s="388"/>
      <c r="H193" s="388"/>
      <c r="I193" s="511"/>
      <c r="J193" s="486">
        <f t="shared" si="26"/>
        <v>0</v>
      </c>
    </row>
    <row r="194" spans="1:10" ht="14.25">
      <c r="A194" s="500"/>
      <c r="B194" s="510"/>
      <c r="C194" s="588"/>
      <c r="D194" s="589"/>
      <c r="E194" s="589"/>
      <c r="F194" s="590"/>
      <c r="G194" s="388"/>
      <c r="H194" s="388"/>
      <c r="I194" s="511"/>
      <c r="J194" s="486">
        <f t="shared" si="25"/>
        <v>0</v>
      </c>
    </row>
    <row r="195" spans="1:10" ht="15">
      <c r="A195" s="516"/>
      <c r="B195" s="517"/>
      <c r="C195" s="517"/>
      <c r="D195" s="517"/>
      <c r="E195" s="517"/>
      <c r="F195" s="517"/>
      <c r="G195" s="518"/>
      <c r="H195" s="518"/>
      <c r="I195" s="519" t="s">
        <v>92</v>
      </c>
      <c r="J195" s="520">
        <f>SUM(J181:J194)</f>
        <v>2990.47</v>
      </c>
    </row>
    <row r="197" spans="1:10" ht="15.75">
      <c r="A197" s="528" t="s">
        <v>442</v>
      </c>
      <c r="B197" s="529"/>
      <c r="C197" s="529"/>
      <c r="D197" s="529"/>
      <c r="E197" s="529"/>
      <c r="F197" s="529"/>
      <c r="G197" s="529"/>
      <c r="H197" s="529"/>
      <c r="I197" s="529"/>
      <c r="J197" s="452"/>
    </row>
    <row r="198" spans="1:10" ht="61.5" customHeight="1">
      <c r="A198" s="1002" t="s">
        <v>779</v>
      </c>
      <c r="B198" s="1003"/>
      <c r="C198" s="1003"/>
      <c r="D198" s="1003"/>
      <c r="E198" s="1003"/>
      <c r="F198" s="1003"/>
      <c r="G198" s="1003"/>
      <c r="H198" s="1003"/>
      <c r="I198" s="1004"/>
      <c r="J198" s="227" t="s">
        <v>91</v>
      </c>
    </row>
    <row r="199" spans="1:10" ht="30">
      <c r="A199" s="228" t="s">
        <v>78</v>
      </c>
      <c r="B199" s="229" t="s">
        <v>79</v>
      </c>
      <c r="C199" s="1005" t="s">
        <v>13</v>
      </c>
      <c r="D199" s="1006"/>
      <c r="E199" s="1006"/>
      <c r="F199" s="1007"/>
      <c r="G199" s="228" t="s">
        <v>91</v>
      </c>
      <c r="H199" s="230" t="s">
        <v>80</v>
      </c>
      <c r="I199" s="231" t="s">
        <v>81</v>
      </c>
      <c r="J199" s="181" t="s">
        <v>82</v>
      </c>
    </row>
    <row r="200" spans="1:10" ht="31.5" customHeight="1">
      <c r="A200" s="500" t="s">
        <v>520</v>
      </c>
      <c r="B200" s="510">
        <v>93358</v>
      </c>
      <c r="C200" s="999" t="s">
        <v>163</v>
      </c>
      <c r="D200" s="1000"/>
      <c r="E200" s="1000"/>
      <c r="F200" s="1001"/>
      <c r="G200" s="592" t="s">
        <v>226</v>
      </c>
      <c r="H200" s="388">
        <f>1.68*0.2*0.35</f>
        <v>0.1176</v>
      </c>
      <c r="I200" s="511">
        <f>$K$7*62.66</f>
        <v>57.860243999999994</v>
      </c>
      <c r="J200" s="486">
        <f aca="true" t="shared" si="27" ref="J200:J213">ROUND((H200*I200),2)</f>
        <v>6.8</v>
      </c>
    </row>
    <row r="201" spans="1:10" ht="44.25" customHeight="1">
      <c r="A201" s="500" t="s">
        <v>520</v>
      </c>
      <c r="B201" s="510">
        <v>96619</v>
      </c>
      <c r="C201" s="999" t="s">
        <v>167</v>
      </c>
      <c r="D201" s="1000"/>
      <c r="E201" s="1000"/>
      <c r="F201" s="1001"/>
      <c r="G201" s="592" t="s">
        <v>63</v>
      </c>
      <c r="H201" s="388">
        <v>1.14</v>
      </c>
      <c r="I201" s="511">
        <f>$K$7*25.46</f>
        <v>23.509764</v>
      </c>
      <c r="J201" s="486">
        <f t="shared" si="27"/>
        <v>26.8</v>
      </c>
    </row>
    <row r="202" spans="1:10" ht="44.25" customHeight="1">
      <c r="A202" s="500" t="s">
        <v>520</v>
      </c>
      <c r="B202" s="510">
        <v>96536</v>
      </c>
      <c r="C202" s="999" t="s">
        <v>140</v>
      </c>
      <c r="D202" s="1000"/>
      <c r="E202" s="1000"/>
      <c r="F202" s="1001"/>
      <c r="G202" s="592" t="s">
        <v>63</v>
      </c>
      <c r="H202" s="388">
        <v>2</v>
      </c>
      <c r="I202" s="511">
        <f>$K$7*49.52</f>
        <v>45.726768</v>
      </c>
      <c r="J202" s="486">
        <f t="shared" si="27"/>
        <v>91.45</v>
      </c>
    </row>
    <row r="203" spans="1:10" ht="31.5" customHeight="1">
      <c r="A203" s="500" t="s">
        <v>520</v>
      </c>
      <c r="B203" s="510">
        <v>73361</v>
      </c>
      <c r="C203" s="999" t="s">
        <v>61</v>
      </c>
      <c r="D203" s="1000"/>
      <c r="E203" s="1000"/>
      <c r="F203" s="1001"/>
      <c r="G203" s="592" t="s">
        <v>226</v>
      </c>
      <c r="H203" s="388">
        <v>0.4</v>
      </c>
      <c r="I203" s="511">
        <f>$K$7*415.35</f>
        <v>383.53419</v>
      </c>
      <c r="J203" s="486">
        <f t="shared" si="27"/>
        <v>153.41</v>
      </c>
    </row>
    <row r="204" spans="1:10" ht="55.5" customHeight="1">
      <c r="A204" s="500" t="s">
        <v>520</v>
      </c>
      <c r="B204" s="510" t="s">
        <v>439</v>
      </c>
      <c r="C204" s="999" t="s">
        <v>440</v>
      </c>
      <c r="D204" s="1000"/>
      <c r="E204" s="1000"/>
      <c r="F204" s="1001"/>
      <c r="G204" s="592" t="s">
        <v>63</v>
      </c>
      <c r="H204" s="388">
        <v>5.12</v>
      </c>
      <c r="I204" s="511">
        <f>$K$7*35.71</f>
        <v>32.974614</v>
      </c>
      <c r="J204" s="486">
        <f t="shared" si="27"/>
        <v>168.83</v>
      </c>
    </row>
    <row r="205" spans="1:10" ht="43.5" customHeight="1">
      <c r="A205" s="500" t="s">
        <v>520</v>
      </c>
      <c r="B205" s="510" t="s">
        <v>439</v>
      </c>
      <c r="C205" s="999" t="s">
        <v>775</v>
      </c>
      <c r="D205" s="1000"/>
      <c r="E205" s="1000"/>
      <c r="F205" s="1001"/>
      <c r="G205" s="592" t="s">
        <v>63</v>
      </c>
      <c r="H205" s="388">
        <f>H206</f>
        <v>3.41</v>
      </c>
      <c r="I205" s="511">
        <f>$K$7*35.71</f>
        <v>32.974614</v>
      </c>
      <c r="J205" s="486">
        <f t="shared" si="27"/>
        <v>112.44</v>
      </c>
    </row>
    <row r="206" spans="1:13" ht="55.5" customHeight="1">
      <c r="A206" s="500" t="s">
        <v>520</v>
      </c>
      <c r="B206" s="510" t="s">
        <v>623</v>
      </c>
      <c r="C206" s="999" t="s">
        <v>624</v>
      </c>
      <c r="D206" s="1000"/>
      <c r="E206" s="1000"/>
      <c r="F206" s="1001"/>
      <c r="G206" s="592" t="s">
        <v>63</v>
      </c>
      <c r="H206" s="388">
        <v>3.41</v>
      </c>
      <c r="I206" s="511">
        <f>$K$7*99.34</f>
        <v>91.730556</v>
      </c>
      <c r="J206" s="486">
        <f t="shared" si="27"/>
        <v>312.8</v>
      </c>
      <c r="M206">
        <f>(J195+J214)*2</f>
        <v>8643</v>
      </c>
    </row>
    <row r="207" spans="1:13" ht="55.5" customHeight="1">
      <c r="A207" s="500" t="s">
        <v>520</v>
      </c>
      <c r="B207" s="510">
        <v>87894</v>
      </c>
      <c r="C207" s="999" t="s">
        <v>389</v>
      </c>
      <c r="D207" s="1000"/>
      <c r="E207" s="1000"/>
      <c r="F207" s="1001"/>
      <c r="G207" s="592" t="s">
        <v>63</v>
      </c>
      <c r="H207" s="388">
        <v>7.96</v>
      </c>
      <c r="I207" s="511">
        <f>$K$7*5.3</f>
        <v>4.89402</v>
      </c>
      <c r="J207" s="486">
        <f t="shared" si="27"/>
        <v>38.96</v>
      </c>
      <c r="M207" s="597">
        <f>M206*'ORÇAMENTO NÃO DESONERADO'!J8</f>
        <v>10803.75</v>
      </c>
    </row>
    <row r="208" spans="1:10" ht="55.5" customHeight="1">
      <c r="A208" s="500" t="s">
        <v>520</v>
      </c>
      <c r="B208" s="510">
        <v>87529</v>
      </c>
      <c r="C208" s="999" t="s">
        <v>233</v>
      </c>
      <c r="D208" s="1000"/>
      <c r="E208" s="1000"/>
      <c r="F208" s="1001"/>
      <c r="G208" s="592" t="s">
        <v>63</v>
      </c>
      <c r="H208" s="388">
        <v>7.96</v>
      </c>
      <c r="I208" s="511">
        <f>$K$7*31.18</f>
        <v>28.791612</v>
      </c>
      <c r="J208" s="486">
        <f t="shared" si="27"/>
        <v>229.18</v>
      </c>
    </row>
    <row r="209" spans="1:10" ht="31.5" customHeight="1">
      <c r="A209" s="500" t="s">
        <v>520</v>
      </c>
      <c r="B209" s="510">
        <v>88483</v>
      </c>
      <c r="C209" s="999" t="s">
        <v>234</v>
      </c>
      <c r="D209" s="1000"/>
      <c r="E209" s="1000"/>
      <c r="F209" s="1001"/>
      <c r="G209" s="592" t="s">
        <v>63</v>
      </c>
      <c r="H209" s="388">
        <v>3.65</v>
      </c>
      <c r="I209" s="511">
        <f>$K$7*2.4</f>
        <v>2.21616</v>
      </c>
      <c r="J209" s="486">
        <f t="shared" si="27"/>
        <v>8.09</v>
      </c>
    </row>
    <row r="210" spans="1:10" ht="46.5" customHeight="1">
      <c r="A210" s="500" t="s">
        <v>520</v>
      </c>
      <c r="B210" s="510" t="s">
        <v>281</v>
      </c>
      <c r="C210" s="999" t="s">
        <v>282</v>
      </c>
      <c r="D210" s="1000"/>
      <c r="E210" s="1000"/>
      <c r="F210" s="1001"/>
      <c r="G210" s="592" t="s">
        <v>63</v>
      </c>
      <c r="H210" s="388">
        <v>3.65</v>
      </c>
      <c r="I210" s="511">
        <f>$K$7*18.82</f>
        <v>17.378388</v>
      </c>
      <c r="J210" s="486">
        <f t="shared" si="27"/>
        <v>63.43</v>
      </c>
    </row>
    <row r="211" spans="1:10" ht="31.5" customHeight="1">
      <c r="A211" s="698" t="s">
        <v>135</v>
      </c>
      <c r="B211" s="510">
        <v>7253</v>
      </c>
      <c r="C211" s="999" t="s">
        <v>235</v>
      </c>
      <c r="D211" s="1000"/>
      <c r="E211" s="1000"/>
      <c r="F211" s="1001"/>
      <c r="G211" s="592" t="s">
        <v>232</v>
      </c>
      <c r="H211" s="388">
        <v>0.77</v>
      </c>
      <c r="I211" s="511">
        <f>$K$7*167.14</f>
        <v>154.337076</v>
      </c>
      <c r="J211" s="486">
        <f t="shared" si="27"/>
        <v>118.84</v>
      </c>
    </row>
    <row r="212" spans="1:10" ht="14.25">
      <c r="A212" s="500"/>
      <c r="B212" s="510"/>
      <c r="C212" s="588"/>
      <c r="D212" s="589"/>
      <c r="E212" s="589"/>
      <c r="F212" s="590"/>
      <c r="G212" s="388"/>
      <c r="H212" s="388"/>
      <c r="I212" s="511"/>
      <c r="J212" s="486">
        <f aca="true" t="shared" si="28" ref="J212">ROUND((H212*I212),2)</f>
        <v>0</v>
      </c>
    </row>
    <row r="213" spans="1:10" ht="14.25">
      <c r="A213" s="500"/>
      <c r="B213" s="510"/>
      <c r="C213" s="588"/>
      <c r="D213" s="589"/>
      <c r="E213" s="589"/>
      <c r="F213" s="590"/>
      <c r="G213" s="388"/>
      <c r="H213" s="388"/>
      <c r="I213" s="511"/>
      <c r="J213" s="486">
        <f t="shared" si="27"/>
        <v>0</v>
      </c>
    </row>
    <row r="214" spans="1:10" ht="15">
      <c r="A214" s="516"/>
      <c r="B214" s="517"/>
      <c r="C214" s="517"/>
      <c r="D214" s="517"/>
      <c r="E214" s="517"/>
      <c r="F214" s="517"/>
      <c r="G214" s="518"/>
      <c r="H214" s="518"/>
      <c r="I214" s="519" t="s">
        <v>92</v>
      </c>
      <c r="J214" s="520">
        <f>SUM(J200:J213)</f>
        <v>1331.03</v>
      </c>
    </row>
    <row r="216" spans="1:10" ht="15.75">
      <c r="A216" s="528" t="s">
        <v>570</v>
      </c>
      <c r="B216" s="529"/>
      <c r="C216" s="529"/>
      <c r="D216" s="529"/>
      <c r="E216" s="529"/>
      <c r="F216" s="529"/>
      <c r="G216" s="529"/>
      <c r="H216" s="529"/>
      <c r="I216" s="529"/>
      <c r="J216" s="452"/>
    </row>
    <row r="217" spans="1:10" ht="34.5" customHeight="1">
      <c r="A217" s="1008" t="s">
        <v>608</v>
      </c>
      <c r="B217" s="1009"/>
      <c r="C217" s="1009"/>
      <c r="D217" s="1009"/>
      <c r="E217" s="1009"/>
      <c r="F217" s="1009"/>
      <c r="G217" s="1009"/>
      <c r="H217" s="1009"/>
      <c r="I217" s="1010"/>
      <c r="J217" s="227" t="s">
        <v>91</v>
      </c>
    </row>
    <row r="218" spans="1:12" ht="30">
      <c r="A218" s="228" t="s">
        <v>78</v>
      </c>
      <c r="B218" s="229" t="s">
        <v>79</v>
      </c>
      <c r="C218" s="1005" t="s">
        <v>13</v>
      </c>
      <c r="D218" s="1006"/>
      <c r="E218" s="1006"/>
      <c r="F218" s="1007"/>
      <c r="G218" s="228" t="s">
        <v>91</v>
      </c>
      <c r="H218" s="230" t="s">
        <v>80</v>
      </c>
      <c r="I218" s="231" t="s">
        <v>81</v>
      </c>
      <c r="J218" s="181" t="s">
        <v>82</v>
      </c>
      <c r="L218" s="3"/>
    </row>
    <row r="219" spans="1:12" ht="31.5" customHeight="1">
      <c r="A219" s="698" t="s">
        <v>135</v>
      </c>
      <c r="B219" s="510" t="s">
        <v>521</v>
      </c>
      <c r="C219" s="999" t="s">
        <v>522</v>
      </c>
      <c r="D219" s="1000"/>
      <c r="E219" s="1000"/>
      <c r="F219" s="1001"/>
      <c r="G219" s="592" t="s">
        <v>523</v>
      </c>
      <c r="H219" s="699">
        <f>(4*4*10)/100</f>
        <v>1.6</v>
      </c>
      <c r="I219" s="511">
        <f>$K$7*132.8</f>
        <v>122.62752</v>
      </c>
      <c r="J219" s="486">
        <f>ROUND((H219*I219),2)</f>
        <v>196.2</v>
      </c>
      <c r="L219" s="700"/>
    </row>
    <row r="220" spans="1:12" ht="43.5" customHeight="1">
      <c r="A220" s="698" t="s">
        <v>135</v>
      </c>
      <c r="B220" s="510" t="s">
        <v>524</v>
      </c>
      <c r="C220" s="999" t="s">
        <v>531</v>
      </c>
      <c r="D220" s="1000"/>
      <c r="E220" s="1000"/>
      <c r="F220" s="1001"/>
      <c r="G220" s="592" t="s">
        <v>64</v>
      </c>
      <c r="H220" s="699">
        <f>15.3*9*8.64</f>
        <v>1189.7280000000003</v>
      </c>
      <c r="I220" s="511">
        <f>$K$7*5.06</f>
        <v>4.672403999999999</v>
      </c>
      <c r="J220" s="486">
        <f aca="true" t="shared" si="29" ref="J220:J224">ROUND((H220*I220),2)</f>
        <v>5558.89</v>
      </c>
      <c r="L220" s="700"/>
    </row>
    <row r="221" spans="1:12" ht="32.25" customHeight="1">
      <c r="A221" s="500" t="s">
        <v>520</v>
      </c>
      <c r="B221" s="510" t="s">
        <v>513</v>
      </c>
      <c r="C221" s="999" t="s">
        <v>514</v>
      </c>
      <c r="D221" s="1000"/>
      <c r="E221" s="1000"/>
      <c r="F221" s="1001"/>
      <c r="G221" s="592" t="s">
        <v>88</v>
      </c>
      <c r="H221" s="699">
        <f>H220*0.0491</f>
        <v>58.41564480000001</v>
      </c>
      <c r="I221" s="511">
        <f>$K$7*16.75</f>
        <v>15.46695</v>
      </c>
      <c r="J221" s="486">
        <f t="shared" si="29"/>
        <v>903.51</v>
      </c>
      <c r="L221" s="700"/>
    </row>
    <row r="222" spans="1:12" ht="18.75" customHeight="1">
      <c r="A222" s="500" t="s">
        <v>520</v>
      </c>
      <c r="B222" s="510" t="s">
        <v>251</v>
      </c>
      <c r="C222" s="999" t="s">
        <v>89</v>
      </c>
      <c r="D222" s="1000"/>
      <c r="E222" s="1000"/>
      <c r="F222" s="1001"/>
      <c r="G222" s="592" t="s">
        <v>88</v>
      </c>
      <c r="H222" s="699">
        <f>H220*0.0245</f>
        <v>29.148336000000008</v>
      </c>
      <c r="I222" s="511">
        <f>$K$7*15.84</f>
        <v>14.626656</v>
      </c>
      <c r="J222" s="486">
        <f t="shared" si="29"/>
        <v>426.34</v>
      </c>
      <c r="L222" s="700"/>
    </row>
    <row r="223" spans="1:12" ht="29.25" customHeight="1">
      <c r="A223" s="500" t="s">
        <v>520</v>
      </c>
      <c r="B223" s="510" t="s">
        <v>525</v>
      </c>
      <c r="C223" s="999" t="s">
        <v>526</v>
      </c>
      <c r="D223" s="1000"/>
      <c r="E223" s="1000"/>
      <c r="F223" s="1001"/>
      <c r="G223" s="592" t="s">
        <v>527</v>
      </c>
      <c r="H223" s="699">
        <f>H220*0.0016</f>
        <v>1.9035648000000005</v>
      </c>
      <c r="I223" s="511">
        <f>$K$7*18.45</f>
        <v>17.03673</v>
      </c>
      <c r="J223" s="486">
        <f t="shared" si="29"/>
        <v>32.43</v>
      </c>
      <c r="L223" s="700"/>
    </row>
    <row r="224" spans="1:12" ht="43.5" customHeight="1">
      <c r="A224" s="500" t="s">
        <v>520</v>
      </c>
      <c r="B224" s="510" t="s">
        <v>528</v>
      </c>
      <c r="C224" s="999" t="s">
        <v>529</v>
      </c>
      <c r="D224" s="1000"/>
      <c r="E224" s="1000"/>
      <c r="F224" s="1001"/>
      <c r="G224" s="592" t="s">
        <v>530</v>
      </c>
      <c r="H224" s="699">
        <f>H220*0.0022</f>
        <v>2.617401600000001</v>
      </c>
      <c r="I224" s="511">
        <f>$K$7*17.42</f>
        <v>16.085628</v>
      </c>
      <c r="J224" s="486">
        <f t="shared" si="29"/>
        <v>42.1</v>
      </c>
      <c r="L224" s="700"/>
    </row>
    <row r="225" spans="1:14" ht="35.25" customHeight="1">
      <c r="A225" s="698" t="s">
        <v>135</v>
      </c>
      <c r="B225" s="510" t="s">
        <v>533</v>
      </c>
      <c r="C225" s="999" t="s">
        <v>534</v>
      </c>
      <c r="D225" s="1000"/>
      <c r="E225" s="1000"/>
      <c r="F225" s="1001"/>
      <c r="G225" s="592" t="s">
        <v>64</v>
      </c>
      <c r="H225" s="388">
        <f>((0.095*0.095)/2+(0.12*0.12)+(0.12*0.091))*4*10</f>
        <v>1.1932999999999998</v>
      </c>
      <c r="I225" s="511">
        <f>$K$7*4.73</f>
        <v>4.367682</v>
      </c>
      <c r="J225" s="486">
        <f aca="true" t="shared" si="30" ref="J225:J227">ROUND((H225*I225),2)</f>
        <v>5.21</v>
      </c>
      <c r="L225" s="3"/>
      <c r="N225" s="846">
        <f>'ORÇAMENTO NÃO DESONERADO'!L4</f>
        <v>0</v>
      </c>
    </row>
    <row r="226" spans="1:10" ht="28.5">
      <c r="A226" s="698" t="s">
        <v>519</v>
      </c>
      <c r="B226" s="510" t="s">
        <v>509</v>
      </c>
      <c r="C226" s="999" t="s">
        <v>510</v>
      </c>
      <c r="D226" s="1000"/>
      <c r="E226" s="1000"/>
      <c r="F226" s="1001"/>
      <c r="G226" s="696" t="s">
        <v>64</v>
      </c>
      <c r="H226" s="388">
        <f>(H225)*0.0097</f>
        <v>0.011575009999999998</v>
      </c>
      <c r="I226" s="511">
        <f>$K$7*20.16</f>
        <v>18.615744</v>
      </c>
      <c r="J226" s="486">
        <f t="shared" si="30"/>
        <v>0.22</v>
      </c>
    </row>
    <row r="227" spans="1:10" ht="14.25">
      <c r="A227" s="500"/>
      <c r="B227" s="510"/>
      <c r="C227" s="588"/>
      <c r="D227" s="589"/>
      <c r="E227" s="589"/>
      <c r="F227" s="590"/>
      <c r="G227" s="388"/>
      <c r="H227" s="388"/>
      <c r="I227" s="511"/>
      <c r="J227" s="486">
        <f t="shared" si="30"/>
        <v>0</v>
      </c>
    </row>
    <row r="228" spans="1:10" ht="15">
      <c r="A228" s="516"/>
      <c r="B228" s="517"/>
      <c r="C228" s="517"/>
      <c r="D228" s="517"/>
      <c r="E228" s="517"/>
      <c r="F228" s="517"/>
      <c r="G228" s="518"/>
      <c r="H228" s="518"/>
      <c r="I228" s="519" t="s">
        <v>92</v>
      </c>
      <c r="J228" s="520">
        <f>SUM(J219:J227)</f>
        <v>7164.9000000000015</v>
      </c>
    </row>
    <row r="230" spans="1:10" ht="15.75">
      <c r="A230" s="528" t="s">
        <v>532</v>
      </c>
      <c r="B230" s="529"/>
      <c r="C230" s="529"/>
      <c r="D230" s="529"/>
      <c r="E230" s="529"/>
      <c r="F230" s="529"/>
      <c r="G230" s="529"/>
      <c r="H230" s="529"/>
      <c r="I230" s="529"/>
      <c r="J230" s="452"/>
    </row>
    <row r="231" spans="1:10" ht="45" customHeight="1">
      <c r="A231" s="1008" t="s">
        <v>560</v>
      </c>
      <c r="B231" s="1009"/>
      <c r="C231" s="1009"/>
      <c r="D231" s="1009"/>
      <c r="E231" s="1009"/>
      <c r="F231" s="1009"/>
      <c r="G231" s="1009"/>
      <c r="H231" s="1009"/>
      <c r="I231" s="1010"/>
      <c r="J231" s="227" t="s">
        <v>91</v>
      </c>
    </row>
    <row r="232" spans="1:10" ht="30">
      <c r="A232" s="228" t="s">
        <v>78</v>
      </c>
      <c r="B232" s="229" t="s">
        <v>79</v>
      </c>
      <c r="C232" s="1005" t="s">
        <v>13</v>
      </c>
      <c r="D232" s="1006"/>
      <c r="E232" s="1006"/>
      <c r="F232" s="1007"/>
      <c r="G232" s="228" t="s">
        <v>91</v>
      </c>
      <c r="H232" s="230" t="s">
        <v>80</v>
      </c>
      <c r="I232" s="231" t="s">
        <v>81</v>
      </c>
      <c r="J232" s="181" t="s">
        <v>82</v>
      </c>
    </row>
    <row r="233" spans="1:10" ht="63.75" customHeight="1">
      <c r="A233" s="698" t="s">
        <v>135</v>
      </c>
      <c r="B233" s="463" t="s">
        <v>556</v>
      </c>
      <c r="C233" s="999" t="s">
        <v>557</v>
      </c>
      <c r="D233" s="1000"/>
      <c r="E233" s="1000"/>
      <c r="F233" s="1001"/>
      <c r="G233" s="662" t="s">
        <v>91</v>
      </c>
      <c r="H233" s="662">
        <v>14</v>
      </c>
      <c r="I233" s="486">
        <f>$K$7*11.43</f>
        <v>10.554462</v>
      </c>
      <c r="J233" s="486">
        <f>ROUND((H233*I233),2)</f>
        <v>147.76</v>
      </c>
    </row>
    <row r="234" spans="1:10" ht="44.25" customHeight="1">
      <c r="A234" s="500" t="s">
        <v>520</v>
      </c>
      <c r="B234" s="510" t="s">
        <v>558</v>
      </c>
      <c r="C234" s="999" t="s">
        <v>559</v>
      </c>
      <c r="D234" s="1000"/>
      <c r="E234" s="1000"/>
      <c r="F234" s="1001"/>
      <c r="G234" s="388" t="s">
        <v>70</v>
      </c>
      <c r="H234" s="388">
        <f>1.25+3.5</f>
        <v>4.75</v>
      </c>
      <c r="I234" s="511">
        <f>$K$7*3.38</f>
        <v>3.121092</v>
      </c>
      <c r="J234" s="486">
        <f aca="true" t="shared" si="31" ref="J234:J237">ROUND((H234*I234),2)</f>
        <v>14.83</v>
      </c>
    </row>
    <row r="235" spans="1:10" ht="45.75" customHeight="1">
      <c r="A235" s="500" t="s">
        <v>520</v>
      </c>
      <c r="B235" s="510" t="s">
        <v>395</v>
      </c>
      <c r="C235" s="999" t="s">
        <v>396</v>
      </c>
      <c r="D235" s="1000"/>
      <c r="E235" s="1000"/>
      <c r="F235" s="1001"/>
      <c r="G235" s="388" t="s">
        <v>437</v>
      </c>
      <c r="H235" s="388">
        <v>3</v>
      </c>
      <c r="I235" s="511">
        <f>$K$7*24.91</f>
        <v>23.001894</v>
      </c>
      <c r="J235" s="486">
        <f t="shared" si="31"/>
        <v>69.01</v>
      </c>
    </row>
    <row r="236" spans="1:10" ht="44.25" customHeight="1">
      <c r="A236" s="500" t="s">
        <v>520</v>
      </c>
      <c r="B236" s="510" t="s">
        <v>562</v>
      </c>
      <c r="C236" s="999" t="s">
        <v>563</v>
      </c>
      <c r="D236" s="1000"/>
      <c r="E236" s="1000"/>
      <c r="F236" s="1001"/>
      <c r="G236" s="388" t="s">
        <v>437</v>
      </c>
      <c r="H236" s="388">
        <v>1</v>
      </c>
      <c r="I236" s="511">
        <f>$K$7*67.19</f>
        <v>62.043245999999996</v>
      </c>
      <c r="J236" s="486">
        <f t="shared" si="31"/>
        <v>62.04</v>
      </c>
    </row>
    <row r="237" spans="1:10" ht="14.25">
      <c r="A237" s="500"/>
      <c r="B237" s="510"/>
      <c r="C237" s="588"/>
      <c r="D237" s="589"/>
      <c r="E237" s="589"/>
      <c r="F237" s="590"/>
      <c r="G237" s="388"/>
      <c r="H237" s="388"/>
      <c r="I237" s="511"/>
      <c r="J237" s="486">
        <f t="shared" si="31"/>
        <v>0</v>
      </c>
    </row>
    <row r="238" spans="1:10" ht="15">
      <c r="A238" s="516"/>
      <c r="B238" s="517"/>
      <c r="C238" s="517"/>
      <c r="D238" s="517"/>
      <c r="E238" s="517"/>
      <c r="F238" s="517"/>
      <c r="G238" s="518"/>
      <c r="H238" s="518"/>
      <c r="I238" s="519" t="s">
        <v>92</v>
      </c>
      <c r="J238" s="520">
        <f>SUM(J233:J237)</f>
        <v>293.64000000000004</v>
      </c>
    </row>
    <row r="240" spans="1:10" ht="15.75">
      <c r="A240" s="528" t="s">
        <v>571</v>
      </c>
      <c r="B240" s="529"/>
      <c r="C240" s="529"/>
      <c r="D240" s="529"/>
      <c r="E240" s="529"/>
      <c r="F240" s="529"/>
      <c r="G240" s="529"/>
      <c r="H240" s="529"/>
      <c r="I240" s="529"/>
      <c r="J240" s="452"/>
    </row>
    <row r="241" spans="1:10" ht="34.5" customHeight="1">
      <c r="A241" s="1008" t="s">
        <v>607</v>
      </c>
      <c r="B241" s="1009"/>
      <c r="C241" s="1009"/>
      <c r="D241" s="1009"/>
      <c r="E241" s="1009"/>
      <c r="F241" s="1009"/>
      <c r="G241" s="1009"/>
      <c r="H241" s="1009"/>
      <c r="I241" s="1010"/>
      <c r="J241" s="227" t="s">
        <v>91</v>
      </c>
    </row>
    <row r="242" spans="1:12" ht="30">
      <c r="A242" s="228" t="s">
        <v>78</v>
      </c>
      <c r="B242" s="229" t="s">
        <v>79</v>
      </c>
      <c r="C242" s="1005" t="s">
        <v>13</v>
      </c>
      <c r="D242" s="1006"/>
      <c r="E242" s="1006"/>
      <c r="F242" s="1007"/>
      <c r="G242" s="228" t="s">
        <v>91</v>
      </c>
      <c r="H242" s="230" t="s">
        <v>80</v>
      </c>
      <c r="I242" s="231" t="s">
        <v>81</v>
      </c>
      <c r="J242" s="181" t="s">
        <v>82</v>
      </c>
      <c r="L242" s="3"/>
    </row>
    <row r="243" spans="1:12" ht="31.5" customHeight="1">
      <c r="A243" s="698" t="s">
        <v>135</v>
      </c>
      <c r="B243" s="510" t="s">
        <v>521</v>
      </c>
      <c r="C243" s="999" t="s">
        <v>522</v>
      </c>
      <c r="D243" s="1000"/>
      <c r="E243" s="1000"/>
      <c r="F243" s="1001"/>
      <c r="G243" s="592" t="s">
        <v>523</v>
      </c>
      <c r="H243" s="699">
        <f>(4*4)/100</f>
        <v>0.16</v>
      </c>
      <c r="I243" s="511">
        <f>$K$7*132.8</f>
        <v>122.62752</v>
      </c>
      <c r="J243" s="486">
        <f>ROUND((H243*I243),2)</f>
        <v>19.62</v>
      </c>
      <c r="L243" s="700"/>
    </row>
    <row r="244" spans="1:12" ht="31.5" customHeight="1">
      <c r="A244" s="698" t="s">
        <v>135</v>
      </c>
      <c r="B244" s="510" t="s">
        <v>511</v>
      </c>
      <c r="C244" s="999" t="s">
        <v>512</v>
      </c>
      <c r="D244" s="1000"/>
      <c r="E244" s="1000"/>
      <c r="F244" s="1001"/>
      <c r="G244" s="592" t="s">
        <v>64</v>
      </c>
      <c r="H244" s="699">
        <f>15.3*4*4.48</f>
        <v>274.17600000000004</v>
      </c>
      <c r="I244" s="511">
        <f>$K$7*4.94</f>
        <v>4.561596000000001</v>
      </c>
      <c r="J244" s="486">
        <f aca="true" t="shared" si="32" ref="J244:J252">ROUND((H244*I244),2)</f>
        <v>1250.68</v>
      </c>
      <c r="L244" s="700"/>
    </row>
    <row r="245" spans="1:12" ht="31.5" customHeight="1">
      <c r="A245" s="698" t="s">
        <v>135</v>
      </c>
      <c r="B245" s="510" t="s">
        <v>565</v>
      </c>
      <c r="C245" s="999" t="s">
        <v>566</v>
      </c>
      <c r="D245" s="1000"/>
      <c r="E245" s="1000"/>
      <c r="F245" s="1001"/>
      <c r="G245" s="592" t="s">
        <v>64</v>
      </c>
      <c r="H245" s="699">
        <f>3.45*8*3.41*2</f>
        <v>188.23200000000003</v>
      </c>
      <c r="I245" s="511">
        <f>$K$7*5.06</f>
        <v>4.672403999999999</v>
      </c>
      <c r="J245" s="486">
        <f aca="true" t="shared" si="33" ref="J245">ROUND((H245*I245),2)</f>
        <v>879.5</v>
      </c>
      <c r="L245" s="700"/>
    </row>
    <row r="246" spans="1:12" ht="32.25" customHeight="1">
      <c r="A246" s="500" t="s">
        <v>520</v>
      </c>
      <c r="B246" s="510" t="s">
        <v>513</v>
      </c>
      <c r="C246" s="999" t="s">
        <v>514</v>
      </c>
      <c r="D246" s="1000"/>
      <c r="E246" s="1000"/>
      <c r="F246" s="1001"/>
      <c r="G246" s="592" t="s">
        <v>88</v>
      </c>
      <c r="H246" s="699">
        <f>(H244+H245)*0.0491</f>
        <v>22.704232800000003</v>
      </c>
      <c r="I246" s="511">
        <f>$K$7*16.75</f>
        <v>15.46695</v>
      </c>
      <c r="J246" s="486">
        <f t="shared" si="32"/>
        <v>351.17</v>
      </c>
      <c r="L246" s="700"/>
    </row>
    <row r="247" spans="1:12" ht="18.75" customHeight="1">
      <c r="A247" s="500" t="s">
        <v>520</v>
      </c>
      <c r="B247" s="510" t="s">
        <v>251</v>
      </c>
      <c r="C247" s="999" t="s">
        <v>89</v>
      </c>
      <c r="D247" s="1000"/>
      <c r="E247" s="1000"/>
      <c r="F247" s="1001"/>
      <c r="G247" s="592" t="s">
        <v>88</v>
      </c>
      <c r="H247" s="699">
        <f>(H244+H245)*0.0245</f>
        <v>11.328996000000002</v>
      </c>
      <c r="I247" s="511">
        <f>$K$7*15.84</f>
        <v>14.626656</v>
      </c>
      <c r="J247" s="486">
        <f t="shared" si="32"/>
        <v>165.71</v>
      </c>
      <c r="L247" s="700"/>
    </row>
    <row r="248" spans="1:12" ht="29.25" customHeight="1">
      <c r="A248" s="500" t="s">
        <v>520</v>
      </c>
      <c r="B248" s="510" t="s">
        <v>525</v>
      </c>
      <c r="C248" s="999" t="s">
        <v>526</v>
      </c>
      <c r="D248" s="1000"/>
      <c r="E248" s="1000"/>
      <c r="F248" s="1001"/>
      <c r="G248" s="592" t="s">
        <v>527</v>
      </c>
      <c r="H248" s="699">
        <f>(H244+H245)*0.0016</f>
        <v>0.7398528000000002</v>
      </c>
      <c r="I248" s="511">
        <f>$K$7*18.45</f>
        <v>17.03673</v>
      </c>
      <c r="J248" s="486">
        <f t="shared" si="32"/>
        <v>12.6</v>
      </c>
      <c r="L248" s="700"/>
    </row>
    <row r="249" spans="1:12" ht="43.5" customHeight="1">
      <c r="A249" s="500" t="s">
        <v>520</v>
      </c>
      <c r="B249" s="510" t="s">
        <v>528</v>
      </c>
      <c r="C249" s="999" t="s">
        <v>529</v>
      </c>
      <c r="D249" s="1000"/>
      <c r="E249" s="1000"/>
      <c r="F249" s="1001"/>
      <c r="G249" s="592" t="s">
        <v>530</v>
      </c>
      <c r="H249" s="699">
        <f>(H244+H245)*0.0022</f>
        <v>1.0172976000000002</v>
      </c>
      <c r="I249" s="511">
        <f>$K$7*17.42</f>
        <v>16.085628</v>
      </c>
      <c r="J249" s="486">
        <f t="shared" si="32"/>
        <v>16.36</v>
      </c>
      <c r="L249" s="700"/>
    </row>
    <row r="250" spans="1:12" ht="35.25" customHeight="1">
      <c r="A250" s="698" t="s">
        <v>135</v>
      </c>
      <c r="B250" s="510" t="s">
        <v>533</v>
      </c>
      <c r="C250" s="999" t="s">
        <v>534</v>
      </c>
      <c r="D250" s="1000"/>
      <c r="E250" s="1000"/>
      <c r="F250" s="1001"/>
      <c r="G250" s="592" t="s">
        <v>64</v>
      </c>
      <c r="H250" s="388">
        <f>((0.095*0.095)/2+(0.12*0.12)+(0.12*0.091))*8*4</f>
        <v>0.9546399999999999</v>
      </c>
      <c r="I250" s="511">
        <f>$K$7*4.73</f>
        <v>4.367682</v>
      </c>
      <c r="J250" s="486">
        <f t="shared" si="32"/>
        <v>4.17</v>
      </c>
      <c r="L250" s="3"/>
    </row>
    <row r="251" spans="1:10" ht="28.5">
      <c r="A251" s="698" t="s">
        <v>519</v>
      </c>
      <c r="B251" s="510" t="s">
        <v>509</v>
      </c>
      <c r="C251" s="999" t="s">
        <v>510</v>
      </c>
      <c r="D251" s="1000"/>
      <c r="E251" s="1000"/>
      <c r="F251" s="1001"/>
      <c r="G251" s="696" t="s">
        <v>64</v>
      </c>
      <c r="H251" s="388">
        <f>(H250)*0.0097</f>
        <v>0.009260008</v>
      </c>
      <c r="I251" s="511">
        <f>$K$7*20.16</f>
        <v>18.615744</v>
      </c>
      <c r="J251" s="486">
        <f t="shared" si="32"/>
        <v>0.17</v>
      </c>
    </row>
    <row r="252" spans="1:10" ht="14.25">
      <c r="A252" s="500"/>
      <c r="B252" s="510"/>
      <c r="C252" s="588"/>
      <c r="D252" s="589"/>
      <c r="E252" s="589"/>
      <c r="F252" s="590"/>
      <c r="G252" s="388"/>
      <c r="H252" s="388"/>
      <c r="I252" s="511"/>
      <c r="J252" s="486">
        <f t="shared" si="32"/>
        <v>0</v>
      </c>
    </row>
    <row r="253" spans="1:10" ht="15">
      <c r="A253" s="516"/>
      <c r="B253" s="517"/>
      <c r="C253" s="517"/>
      <c r="D253" s="517"/>
      <c r="E253" s="517"/>
      <c r="F253" s="517"/>
      <c r="G253" s="518"/>
      <c r="H253" s="518"/>
      <c r="I253" s="519" t="s">
        <v>92</v>
      </c>
      <c r="J253" s="520">
        <f>SUM(J243:J252)</f>
        <v>2699.9800000000005</v>
      </c>
    </row>
    <row r="255" spans="1:10" ht="15.75">
      <c r="A255" s="528" t="s">
        <v>572</v>
      </c>
      <c r="B255" s="529"/>
      <c r="C255" s="529"/>
      <c r="D255" s="529"/>
      <c r="E255" s="529"/>
      <c r="F255" s="529"/>
      <c r="G255" s="529"/>
      <c r="H255" s="529"/>
      <c r="I255" s="529"/>
      <c r="J255" s="452"/>
    </row>
    <row r="256" spans="1:10" ht="36" customHeight="1">
      <c r="A256" s="1008" t="s">
        <v>575</v>
      </c>
      <c r="B256" s="1009"/>
      <c r="C256" s="1009"/>
      <c r="D256" s="1009"/>
      <c r="E256" s="1009"/>
      <c r="F256" s="1009"/>
      <c r="G256" s="1009"/>
      <c r="H256" s="1009"/>
      <c r="I256" s="1010"/>
      <c r="J256" s="227" t="s">
        <v>91</v>
      </c>
    </row>
    <row r="257" spans="1:10" ht="30">
      <c r="A257" s="228" t="s">
        <v>78</v>
      </c>
      <c r="B257" s="229" t="s">
        <v>79</v>
      </c>
      <c r="C257" s="1005" t="s">
        <v>13</v>
      </c>
      <c r="D257" s="1006"/>
      <c r="E257" s="1006"/>
      <c r="F257" s="1007"/>
      <c r="G257" s="228" t="s">
        <v>91</v>
      </c>
      <c r="H257" s="230" t="s">
        <v>80</v>
      </c>
      <c r="I257" s="231" t="s">
        <v>81</v>
      </c>
      <c r="J257" s="181" t="s">
        <v>82</v>
      </c>
    </row>
    <row r="258" spans="1:10" ht="28.5">
      <c r="A258" s="698" t="s">
        <v>135</v>
      </c>
      <c r="B258" s="510" t="s">
        <v>521</v>
      </c>
      <c r="C258" s="1011" t="s">
        <v>522</v>
      </c>
      <c r="D258" s="1012"/>
      <c r="E258" s="1012"/>
      <c r="F258" s="1013"/>
      <c r="G258" s="592" t="s">
        <v>523</v>
      </c>
      <c r="H258" s="699">
        <f>13/100</f>
        <v>0.13</v>
      </c>
      <c r="I258" s="511">
        <f>$K$7*132.8</f>
        <v>122.62752</v>
      </c>
      <c r="J258" s="486">
        <f>ROUND((H258*I258),2)</f>
        <v>15.94</v>
      </c>
    </row>
    <row r="259" spans="1:10" ht="28.5" customHeight="1">
      <c r="A259" s="698" t="s">
        <v>135</v>
      </c>
      <c r="B259" s="510" t="s">
        <v>573</v>
      </c>
      <c r="C259" s="1011" t="s">
        <v>574</v>
      </c>
      <c r="D259" s="1012"/>
      <c r="E259" s="1012"/>
      <c r="F259" s="1013"/>
      <c r="G259" s="592" t="s">
        <v>64</v>
      </c>
      <c r="H259" s="699">
        <f>15.3*4*4.48</f>
        <v>274.17600000000004</v>
      </c>
      <c r="I259" s="511">
        <f>$K$7*5.02</f>
        <v>4.6354679999999995</v>
      </c>
      <c r="J259" s="486">
        <f aca="true" t="shared" si="34" ref="J259:J265">ROUND((H259*I259),2)</f>
        <v>1270.93</v>
      </c>
    </row>
    <row r="260" spans="1:10" ht="27.75" customHeight="1">
      <c r="A260" s="500" t="s">
        <v>520</v>
      </c>
      <c r="B260" s="510" t="s">
        <v>513</v>
      </c>
      <c r="C260" s="1011" t="s">
        <v>514</v>
      </c>
      <c r="D260" s="1012"/>
      <c r="E260" s="1012"/>
      <c r="F260" s="1013"/>
      <c r="G260" s="592" t="s">
        <v>88</v>
      </c>
      <c r="H260" s="699">
        <f>(H259)*0.0491</f>
        <v>13.462041600000001</v>
      </c>
      <c r="I260" s="511">
        <f>$K$7*16.75</f>
        <v>15.46695</v>
      </c>
      <c r="J260" s="486">
        <f t="shared" si="34"/>
        <v>208.22</v>
      </c>
    </row>
    <row r="261" spans="1:10" ht="14.25">
      <c r="A261" s="500" t="s">
        <v>520</v>
      </c>
      <c r="B261" s="510" t="s">
        <v>251</v>
      </c>
      <c r="C261" s="1011" t="s">
        <v>89</v>
      </c>
      <c r="D261" s="1012"/>
      <c r="E261" s="1012"/>
      <c r="F261" s="1013"/>
      <c r="G261" s="592" t="s">
        <v>88</v>
      </c>
      <c r="H261" s="699">
        <f>(H259)*0.0245</f>
        <v>6.7173120000000015</v>
      </c>
      <c r="I261" s="511">
        <f>$K$7*15.84</f>
        <v>14.626656</v>
      </c>
      <c r="J261" s="486">
        <f t="shared" si="34"/>
        <v>98.25</v>
      </c>
    </row>
    <row r="262" spans="1:10" ht="29.25" customHeight="1">
      <c r="A262" s="500" t="s">
        <v>520</v>
      </c>
      <c r="B262" s="510" t="s">
        <v>525</v>
      </c>
      <c r="C262" s="1011" t="s">
        <v>526</v>
      </c>
      <c r="D262" s="1012"/>
      <c r="E262" s="1012"/>
      <c r="F262" s="1013"/>
      <c r="G262" s="592" t="s">
        <v>527</v>
      </c>
      <c r="H262" s="699">
        <f>(H259)*0.0016</f>
        <v>0.4386816000000001</v>
      </c>
      <c r="I262" s="511">
        <f>$K$7*18.45</f>
        <v>17.03673</v>
      </c>
      <c r="J262" s="486">
        <f t="shared" si="34"/>
        <v>7.47</v>
      </c>
    </row>
    <row r="263" spans="1:10" ht="28.5" customHeight="1">
      <c r="A263" s="500" t="s">
        <v>520</v>
      </c>
      <c r="B263" s="510" t="s">
        <v>528</v>
      </c>
      <c r="C263" s="1011" t="s">
        <v>529</v>
      </c>
      <c r="D263" s="1012"/>
      <c r="E263" s="1012"/>
      <c r="F263" s="1013"/>
      <c r="G263" s="592" t="s">
        <v>530</v>
      </c>
      <c r="H263" s="699">
        <f>(H259)*0.0022</f>
        <v>0.6031872000000001</v>
      </c>
      <c r="I263" s="511">
        <f>$K$7*17.42</f>
        <v>16.085628</v>
      </c>
      <c r="J263" s="486">
        <f t="shared" si="34"/>
        <v>9.7</v>
      </c>
    </row>
    <row r="264" spans="1:10" ht="28.5">
      <c r="A264" s="698" t="s">
        <v>135</v>
      </c>
      <c r="B264" s="510" t="s">
        <v>533</v>
      </c>
      <c r="C264" s="1011" t="s">
        <v>534</v>
      </c>
      <c r="D264" s="1012"/>
      <c r="E264" s="1012"/>
      <c r="F264" s="1013"/>
      <c r="G264" s="592" t="s">
        <v>64</v>
      </c>
      <c r="H264" s="388">
        <f>(0.045*0.1)*8+(0.102*0.03175*2)*12</f>
        <v>0.11372399999999999</v>
      </c>
      <c r="I264" s="511">
        <f>$K$7*4.73</f>
        <v>4.367682</v>
      </c>
      <c r="J264" s="486">
        <f t="shared" si="34"/>
        <v>0.5</v>
      </c>
    </row>
    <row r="265" spans="1:10" ht="28.5">
      <c r="A265" s="698" t="s">
        <v>519</v>
      </c>
      <c r="B265" s="510" t="s">
        <v>509</v>
      </c>
      <c r="C265" s="999" t="s">
        <v>510</v>
      </c>
      <c r="D265" s="1000"/>
      <c r="E265" s="1000"/>
      <c r="F265" s="1001"/>
      <c r="G265" s="696" t="s">
        <v>64</v>
      </c>
      <c r="H265" s="707">
        <f>(H264)*0.0097</f>
        <v>0.0011031228</v>
      </c>
      <c r="I265" s="511">
        <f>$K$7*20.16</f>
        <v>18.615744</v>
      </c>
      <c r="J265" s="486">
        <f t="shared" si="34"/>
        <v>0.02</v>
      </c>
    </row>
    <row r="266" spans="1:10" ht="14.25">
      <c r="A266" s="500"/>
      <c r="B266" s="510"/>
      <c r="C266" s="588"/>
      <c r="D266" s="589"/>
      <c r="E266" s="589"/>
      <c r="F266" s="590"/>
      <c r="G266" s="388"/>
      <c r="H266" s="388"/>
      <c r="I266" s="511"/>
      <c r="J266" s="486">
        <f aca="true" t="shared" si="35" ref="J266">ROUND((H266*I266),2)</f>
        <v>0</v>
      </c>
    </row>
    <row r="267" spans="1:10" ht="15">
      <c r="A267" s="516"/>
      <c r="B267" s="517"/>
      <c r="C267" s="517"/>
      <c r="D267" s="517"/>
      <c r="E267" s="517"/>
      <c r="F267" s="517"/>
      <c r="G267" s="518"/>
      <c r="H267" s="518"/>
      <c r="I267" s="519" t="s">
        <v>92</v>
      </c>
      <c r="J267" s="520">
        <f>SUM(J258:J266)</f>
        <v>1611.0300000000002</v>
      </c>
    </row>
    <row r="269" spans="1:10" ht="15.75">
      <c r="A269" s="528" t="s">
        <v>588</v>
      </c>
      <c r="B269" s="529"/>
      <c r="C269" s="529"/>
      <c r="D269" s="529"/>
      <c r="E269" s="529"/>
      <c r="F269" s="529"/>
      <c r="G269" s="529"/>
      <c r="H269" s="529"/>
      <c r="I269" s="529"/>
      <c r="J269" s="452"/>
    </row>
    <row r="270" spans="1:10" ht="36" customHeight="1">
      <c r="A270" s="1008" t="s">
        <v>597</v>
      </c>
      <c r="B270" s="1009"/>
      <c r="C270" s="1009"/>
      <c r="D270" s="1009"/>
      <c r="E270" s="1009"/>
      <c r="F270" s="1009"/>
      <c r="G270" s="1009"/>
      <c r="H270" s="1009"/>
      <c r="I270" s="1010"/>
      <c r="J270" s="227" t="s">
        <v>587</v>
      </c>
    </row>
    <row r="271" spans="1:10" ht="30">
      <c r="A271" s="228" t="s">
        <v>78</v>
      </c>
      <c r="B271" s="229" t="s">
        <v>79</v>
      </c>
      <c r="C271" s="1005" t="s">
        <v>13</v>
      </c>
      <c r="D271" s="1006"/>
      <c r="E271" s="1006"/>
      <c r="F271" s="1007"/>
      <c r="G271" s="228" t="s">
        <v>91</v>
      </c>
      <c r="H271" s="230" t="s">
        <v>80</v>
      </c>
      <c r="I271" s="231" t="s">
        <v>81</v>
      </c>
      <c r="J271" s="181" t="s">
        <v>82</v>
      </c>
    </row>
    <row r="272" spans="1:10" ht="31.5" customHeight="1">
      <c r="A272" s="698" t="s">
        <v>519</v>
      </c>
      <c r="B272" s="510" t="s">
        <v>583</v>
      </c>
      <c r="C272" s="1011" t="s">
        <v>584</v>
      </c>
      <c r="D272" s="1012"/>
      <c r="E272" s="1012"/>
      <c r="F272" s="1013"/>
      <c r="G272" s="592" t="s">
        <v>91</v>
      </c>
      <c r="H272" s="699">
        <f>4*6</f>
        <v>24</v>
      </c>
      <c r="I272" s="511">
        <f>$K$7*9.04</f>
        <v>8.347536</v>
      </c>
      <c r="J272" s="486">
        <f>ROUND((H272*I272),2)</f>
        <v>200.34</v>
      </c>
    </row>
    <row r="273" spans="1:12" ht="30" customHeight="1">
      <c r="A273" s="698" t="s">
        <v>519</v>
      </c>
      <c r="B273" s="510" t="s">
        <v>585</v>
      </c>
      <c r="C273" s="1011" t="s">
        <v>586</v>
      </c>
      <c r="D273" s="1012"/>
      <c r="E273" s="1012"/>
      <c r="F273" s="1013"/>
      <c r="G273" s="592" t="s">
        <v>64</v>
      </c>
      <c r="H273" s="699">
        <f>0.617*(4*6.08+4*5.83+4*6.2+2*9.6)</f>
        <v>56.54188</v>
      </c>
      <c r="I273" s="511">
        <f>$K$7*5.23</f>
        <v>4.829382000000001</v>
      </c>
      <c r="J273" s="486">
        <f aca="true" t="shared" si="36" ref="J273:J278">ROUND((H273*I273),2)</f>
        <v>273.06</v>
      </c>
      <c r="L273">
        <f>(4*6.08+4*5.83+4*6.2+2*9.6)</f>
        <v>91.64</v>
      </c>
    </row>
    <row r="274" spans="1:10" ht="29.25" customHeight="1">
      <c r="A274" s="500" t="s">
        <v>520</v>
      </c>
      <c r="B274" s="510" t="s">
        <v>513</v>
      </c>
      <c r="C274" s="1011" t="s">
        <v>514</v>
      </c>
      <c r="D274" s="1012"/>
      <c r="E274" s="1012"/>
      <c r="F274" s="1013"/>
      <c r="G274" s="592" t="s">
        <v>88</v>
      </c>
      <c r="H274" s="699">
        <f>(H273)*0.0491</f>
        <v>2.776206308</v>
      </c>
      <c r="I274" s="511">
        <f>$K$7*16.75</f>
        <v>15.46695</v>
      </c>
      <c r="J274" s="486">
        <f t="shared" si="36"/>
        <v>42.94</v>
      </c>
    </row>
    <row r="275" spans="1:10" ht="14.25">
      <c r="A275" s="500" t="s">
        <v>520</v>
      </c>
      <c r="B275" s="510" t="s">
        <v>251</v>
      </c>
      <c r="C275" s="1011" t="s">
        <v>89</v>
      </c>
      <c r="D275" s="1012"/>
      <c r="E275" s="1012"/>
      <c r="F275" s="1013"/>
      <c r="G275" s="592" t="s">
        <v>88</v>
      </c>
      <c r="H275" s="699">
        <f>(H273)*0.0245</f>
        <v>1.38527606</v>
      </c>
      <c r="I275" s="511">
        <f>$K$7*15.84</f>
        <v>14.626656</v>
      </c>
      <c r="J275" s="486">
        <f t="shared" si="36"/>
        <v>20.26</v>
      </c>
    </row>
    <row r="276" spans="1:10" ht="30" customHeight="1">
      <c r="A276" s="500" t="s">
        <v>520</v>
      </c>
      <c r="B276" s="510" t="s">
        <v>525</v>
      </c>
      <c r="C276" s="1011" t="s">
        <v>526</v>
      </c>
      <c r="D276" s="1012"/>
      <c r="E276" s="1012"/>
      <c r="F276" s="1013"/>
      <c r="G276" s="592" t="s">
        <v>527</v>
      </c>
      <c r="H276" s="699">
        <f>(H273)*0.0016</f>
        <v>0.090467008</v>
      </c>
      <c r="I276" s="511">
        <f>$K$7*18.45</f>
        <v>17.03673</v>
      </c>
      <c r="J276" s="486">
        <f t="shared" si="36"/>
        <v>1.54</v>
      </c>
    </row>
    <row r="277" spans="1:10" ht="28.5" customHeight="1">
      <c r="A277" s="500" t="s">
        <v>520</v>
      </c>
      <c r="B277" s="510" t="s">
        <v>528</v>
      </c>
      <c r="C277" s="1011" t="s">
        <v>529</v>
      </c>
      <c r="D277" s="1012"/>
      <c r="E277" s="1012"/>
      <c r="F277" s="1013"/>
      <c r="G277" s="592" t="s">
        <v>530</v>
      </c>
      <c r="H277" s="699">
        <f>(H273)*0.0022</f>
        <v>0.124392136</v>
      </c>
      <c r="I277" s="511">
        <f>$K$7*17.42</f>
        <v>16.085628</v>
      </c>
      <c r="J277" s="486">
        <f t="shared" si="36"/>
        <v>2</v>
      </c>
    </row>
    <row r="278" spans="1:10" ht="14.25">
      <c r="A278" s="500"/>
      <c r="B278" s="510"/>
      <c r="C278" s="588"/>
      <c r="D278" s="589"/>
      <c r="E278" s="589"/>
      <c r="F278" s="590"/>
      <c r="G278" s="388"/>
      <c r="H278" s="388"/>
      <c r="I278" s="511"/>
      <c r="J278" s="486">
        <f t="shared" si="36"/>
        <v>0</v>
      </c>
    </row>
    <row r="279" spans="1:10" ht="15">
      <c r="A279" s="516"/>
      <c r="B279" s="517"/>
      <c r="C279" s="517"/>
      <c r="D279" s="517"/>
      <c r="E279" s="517"/>
      <c r="F279" s="517"/>
      <c r="G279" s="518"/>
      <c r="H279" s="518"/>
      <c r="I279" s="519" t="s">
        <v>92</v>
      </c>
      <c r="J279" s="520">
        <f>SUM(J272:J278)</f>
        <v>540.1399999999999</v>
      </c>
    </row>
    <row r="281" spans="1:10" ht="15.75">
      <c r="A281" s="528" t="s">
        <v>589</v>
      </c>
      <c r="B281" s="529"/>
      <c r="C281" s="529"/>
      <c r="D281" s="529"/>
      <c r="E281" s="529"/>
      <c r="F281" s="529"/>
      <c r="G281" s="529"/>
      <c r="H281" s="529"/>
      <c r="I281" s="529"/>
      <c r="J281" s="452"/>
    </row>
    <row r="282" spans="1:10" ht="46.5" customHeight="1">
      <c r="A282" s="1008" t="s">
        <v>606</v>
      </c>
      <c r="B282" s="1009"/>
      <c r="C282" s="1009"/>
      <c r="D282" s="1009"/>
      <c r="E282" s="1009"/>
      <c r="F282" s="1009"/>
      <c r="G282" s="1009"/>
      <c r="H282" s="1009"/>
      <c r="I282" s="1010"/>
      <c r="J282" s="227" t="s">
        <v>91</v>
      </c>
    </row>
    <row r="283" spans="1:10" ht="30">
      <c r="A283" s="228" t="s">
        <v>78</v>
      </c>
      <c r="B283" s="229" t="s">
        <v>79</v>
      </c>
      <c r="C283" s="1005" t="s">
        <v>13</v>
      </c>
      <c r="D283" s="1006"/>
      <c r="E283" s="1006"/>
      <c r="F283" s="1007"/>
      <c r="G283" s="228" t="s">
        <v>91</v>
      </c>
      <c r="H283" s="230" t="s">
        <v>80</v>
      </c>
      <c r="I283" s="231" t="s">
        <v>81</v>
      </c>
      <c r="J283" s="181" t="s">
        <v>82</v>
      </c>
    </row>
    <row r="284" spans="1:13" ht="28.5">
      <c r="A284" s="698" t="s">
        <v>135</v>
      </c>
      <c r="B284" s="510" t="s">
        <v>521</v>
      </c>
      <c r="C284" s="1011" t="s">
        <v>522</v>
      </c>
      <c r="D284" s="1012"/>
      <c r="E284" s="1012"/>
      <c r="F284" s="1013"/>
      <c r="G284" s="592" t="s">
        <v>523</v>
      </c>
      <c r="H284" s="699">
        <f>(4*4)/100</f>
        <v>0.16</v>
      </c>
      <c r="I284" s="511">
        <f>$K$7*132.8</f>
        <v>122.62752</v>
      </c>
      <c r="J284" s="486">
        <f>ROUND((H284*I284),2)</f>
        <v>19.62</v>
      </c>
      <c r="L284">
        <v>100</v>
      </c>
      <c r="M284">
        <v>1</v>
      </c>
    </row>
    <row r="285" spans="1:12" ht="28.5">
      <c r="A285" s="698" t="s">
        <v>135</v>
      </c>
      <c r="B285" s="510" t="s">
        <v>511</v>
      </c>
      <c r="C285" s="1011" t="s">
        <v>512</v>
      </c>
      <c r="D285" s="1012"/>
      <c r="E285" s="1012"/>
      <c r="F285" s="1013"/>
      <c r="G285" s="592" t="s">
        <v>64</v>
      </c>
      <c r="H285" s="699">
        <f>15.3*4*4.48</f>
        <v>274.17600000000004</v>
      </c>
      <c r="I285" s="511">
        <f>$K$7*4.94</f>
        <v>4.561596000000001</v>
      </c>
      <c r="J285" s="486">
        <f aca="true" t="shared" si="37" ref="J285:J294">ROUND((H285*I285),2)</f>
        <v>1250.68</v>
      </c>
      <c r="L285">
        <v>16</v>
      </c>
    </row>
    <row r="286" spans="1:13" ht="28.5">
      <c r="A286" s="698" t="s">
        <v>135</v>
      </c>
      <c r="B286" s="510" t="s">
        <v>565</v>
      </c>
      <c r="C286" s="1011" t="s">
        <v>566</v>
      </c>
      <c r="D286" s="1012"/>
      <c r="E286" s="1012"/>
      <c r="F286" s="1013"/>
      <c r="G286" s="592" t="s">
        <v>64</v>
      </c>
      <c r="H286" s="699">
        <f>3.45*8*3.41*2</f>
        <v>188.23200000000003</v>
      </c>
      <c r="I286" s="511">
        <f>$K$7*5.06</f>
        <v>4.672403999999999</v>
      </c>
      <c r="J286" s="486">
        <f t="shared" si="37"/>
        <v>879.5</v>
      </c>
      <c r="M286">
        <f>(L285*M284)/L284</f>
        <v>0.16</v>
      </c>
    </row>
    <row r="287" spans="1:10" ht="29.25" customHeight="1">
      <c r="A287" s="500" t="s">
        <v>520</v>
      </c>
      <c r="B287" s="510" t="s">
        <v>513</v>
      </c>
      <c r="C287" s="1011" t="s">
        <v>514</v>
      </c>
      <c r="D287" s="1012"/>
      <c r="E287" s="1012"/>
      <c r="F287" s="1013"/>
      <c r="G287" s="592" t="s">
        <v>88</v>
      </c>
      <c r="H287" s="699">
        <f>(H285+H286)*0.0491</f>
        <v>22.704232800000003</v>
      </c>
      <c r="I287" s="511">
        <f>$K$7*16.75</f>
        <v>15.46695</v>
      </c>
      <c r="J287" s="486">
        <f t="shared" si="37"/>
        <v>351.17</v>
      </c>
    </row>
    <row r="288" spans="1:10" ht="14.25">
      <c r="A288" s="500" t="s">
        <v>520</v>
      </c>
      <c r="B288" s="510" t="s">
        <v>251</v>
      </c>
      <c r="C288" s="1011" t="s">
        <v>89</v>
      </c>
      <c r="D288" s="1012"/>
      <c r="E288" s="1012"/>
      <c r="F288" s="1013"/>
      <c r="G288" s="592" t="s">
        <v>88</v>
      </c>
      <c r="H288" s="699">
        <f>(H285+H286)*0.0245</f>
        <v>11.328996000000002</v>
      </c>
      <c r="I288" s="511">
        <f>$K$7*15.84</f>
        <v>14.626656</v>
      </c>
      <c r="J288" s="486">
        <f t="shared" si="37"/>
        <v>165.71</v>
      </c>
    </row>
    <row r="289" spans="1:10" ht="27" customHeight="1">
      <c r="A289" s="500" t="s">
        <v>520</v>
      </c>
      <c r="B289" s="510" t="s">
        <v>525</v>
      </c>
      <c r="C289" s="1011" t="s">
        <v>526</v>
      </c>
      <c r="D289" s="1012"/>
      <c r="E289" s="1012"/>
      <c r="F289" s="1013"/>
      <c r="G289" s="592" t="s">
        <v>527</v>
      </c>
      <c r="H289" s="699">
        <f>(H285+H286)*0.0016</f>
        <v>0.7398528000000002</v>
      </c>
      <c r="I289" s="511">
        <f>$K$7*18.45</f>
        <v>17.03673</v>
      </c>
      <c r="J289" s="486">
        <f t="shared" si="37"/>
        <v>12.6</v>
      </c>
    </row>
    <row r="290" spans="1:10" ht="27" customHeight="1">
      <c r="A290" s="500" t="s">
        <v>520</v>
      </c>
      <c r="B290" s="510" t="s">
        <v>528</v>
      </c>
      <c r="C290" s="1011" t="s">
        <v>529</v>
      </c>
      <c r="D290" s="1012"/>
      <c r="E290" s="1012"/>
      <c r="F290" s="1013"/>
      <c r="G290" s="592" t="s">
        <v>530</v>
      </c>
      <c r="H290" s="699">
        <f>(H285+H286)*0.0022</f>
        <v>1.0172976000000002</v>
      </c>
      <c r="I290" s="511">
        <f>$K$7*17.42</f>
        <v>16.085628</v>
      </c>
      <c r="J290" s="486">
        <f t="shared" si="37"/>
        <v>16.36</v>
      </c>
    </row>
    <row r="291" spans="1:10" ht="28.5">
      <c r="A291" s="698" t="s">
        <v>135</v>
      </c>
      <c r="B291" s="510" t="s">
        <v>604</v>
      </c>
      <c r="C291" s="1011" t="s">
        <v>605</v>
      </c>
      <c r="D291" s="1012"/>
      <c r="E291" s="1012"/>
      <c r="F291" s="1013"/>
      <c r="G291" s="592" t="s">
        <v>69</v>
      </c>
      <c r="H291" s="388">
        <f>3.45*7+0.21*7</f>
        <v>25.62</v>
      </c>
      <c r="I291" s="511">
        <f>$K$7*8.83</f>
        <v>8.153622</v>
      </c>
      <c r="J291" s="486">
        <f aca="true" t="shared" si="38" ref="J291">ROUND((H291*I291),2)</f>
        <v>208.9</v>
      </c>
    </row>
    <row r="292" spans="1:10" ht="28.5">
      <c r="A292" s="698" t="s">
        <v>135</v>
      </c>
      <c r="B292" s="510" t="s">
        <v>533</v>
      </c>
      <c r="C292" s="1011" t="s">
        <v>534</v>
      </c>
      <c r="D292" s="1012"/>
      <c r="E292" s="1012"/>
      <c r="F292" s="1013"/>
      <c r="G292" s="592" t="s">
        <v>64</v>
      </c>
      <c r="H292" s="388">
        <f>((0.095*0.095)/2+(0.12*0.12)+(0.12*0.091))*8*4</f>
        <v>0.9546399999999999</v>
      </c>
      <c r="I292" s="511">
        <f>$K$7*4.73</f>
        <v>4.367682</v>
      </c>
      <c r="J292" s="486">
        <f t="shared" si="37"/>
        <v>4.17</v>
      </c>
    </row>
    <row r="293" spans="1:10" ht="28.5">
      <c r="A293" s="698" t="s">
        <v>519</v>
      </c>
      <c r="B293" s="510" t="s">
        <v>509</v>
      </c>
      <c r="C293" s="999" t="s">
        <v>510</v>
      </c>
      <c r="D293" s="1000"/>
      <c r="E293" s="1000"/>
      <c r="F293" s="1001"/>
      <c r="G293" s="696" t="s">
        <v>64</v>
      </c>
      <c r="H293" s="388">
        <f>(H292)*0.0097</f>
        <v>0.009260008</v>
      </c>
      <c r="I293" s="511">
        <f>$K$7*20.16</f>
        <v>18.615744</v>
      </c>
      <c r="J293" s="486">
        <f t="shared" si="37"/>
        <v>0.17</v>
      </c>
    </row>
    <row r="294" spans="1:10" ht="14.25">
      <c r="A294" s="500"/>
      <c r="B294" s="510"/>
      <c r="C294" s="588"/>
      <c r="D294" s="589"/>
      <c r="E294" s="589"/>
      <c r="F294" s="590"/>
      <c r="G294" s="388"/>
      <c r="H294" s="388"/>
      <c r="I294" s="511"/>
      <c r="J294" s="486">
        <f t="shared" si="37"/>
        <v>0</v>
      </c>
    </row>
    <row r="295" spans="1:10" ht="15">
      <c r="A295" s="516"/>
      <c r="B295" s="517"/>
      <c r="C295" s="517"/>
      <c r="D295" s="517"/>
      <c r="E295" s="517"/>
      <c r="F295" s="517"/>
      <c r="G295" s="518"/>
      <c r="H295" s="518"/>
      <c r="I295" s="519" t="s">
        <v>92</v>
      </c>
      <c r="J295" s="520">
        <f>SUM(J284:J294)</f>
        <v>2908.8800000000006</v>
      </c>
    </row>
    <row r="297" spans="1:10" ht="15.75">
      <c r="A297" s="528" t="s">
        <v>599</v>
      </c>
      <c r="B297" s="529"/>
      <c r="C297" s="529"/>
      <c r="D297" s="529"/>
      <c r="E297" s="529"/>
      <c r="F297" s="529"/>
      <c r="G297" s="529"/>
      <c r="H297" s="529"/>
      <c r="I297" s="529"/>
      <c r="J297" s="452"/>
    </row>
    <row r="298" spans="1:10" ht="15.75" customHeight="1">
      <c r="A298" s="1014" t="s">
        <v>598</v>
      </c>
      <c r="B298" s="1015"/>
      <c r="C298" s="1015"/>
      <c r="D298" s="1015"/>
      <c r="E298" s="1015"/>
      <c r="F298" s="1015"/>
      <c r="G298" s="1015"/>
      <c r="H298" s="1015"/>
      <c r="I298" s="1016"/>
      <c r="J298" s="227" t="s">
        <v>587</v>
      </c>
    </row>
    <row r="299" spans="1:10" ht="30">
      <c r="A299" s="228" t="s">
        <v>78</v>
      </c>
      <c r="B299" s="229" t="s">
        <v>79</v>
      </c>
      <c r="C299" s="1005" t="s">
        <v>13</v>
      </c>
      <c r="D299" s="1006"/>
      <c r="E299" s="1006"/>
      <c r="F299" s="1007"/>
      <c r="G299" s="228" t="s">
        <v>91</v>
      </c>
      <c r="H299" s="230" t="s">
        <v>80</v>
      </c>
      <c r="I299" s="231" t="s">
        <v>81</v>
      </c>
      <c r="J299" s="181" t="s">
        <v>82</v>
      </c>
    </row>
    <row r="300" spans="1:10" ht="28.5">
      <c r="A300" s="698" t="s">
        <v>519</v>
      </c>
      <c r="B300" s="510" t="s">
        <v>583</v>
      </c>
      <c r="C300" s="1011" t="s">
        <v>584</v>
      </c>
      <c r="D300" s="1012"/>
      <c r="E300" s="1012"/>
      <c r="F300" s="1013"/>
      <c r="G300" s="592" t="s">
        <v>91</v>
      </c>
      <c r="H300" s="699">
        <f>4*6</f>
        <v>24</v>
      </c>
      <c r="I300" s="511">
        <f>$K$7*9.04</f>
        <v>8.347536</v>
      </c>
      <c r="J300" s="486">
        <f>ROUND((H300*I300),2)</f>
        <v>200.34</v>
      </c>
    </row>
    <row r="301" spans="1:12" ht="28.5">
      <c r="A301" s="698" t="s">
        <v>519</v>
      </c>
      <c r="B301" s="510" t="s">
        <v>585</v>
      </c>
      <c r="C301" s="1011" t="s">
        <v>586</v>
      </c>
      <c r="D301" s="1012"/>
      <c r="E301" s="1012"/>
      <c r="F301" s="1013"/>
      <c r="G301" s="592" t="s">
        <v>64</v>
      </c>
      <c r="H301" s="699">
        <f>0.617*(12*3.87)</f>
        <v>28.65348</v>
      </c>
      <c r="I301" s="511">
        <f>$K$7*5.23</f>
        <v>4.829382000000001</v>
      </c>
      <c r="J301" s="486">
        <f aca="true" t="shared" si="39" ref="J301:J306">ROUND((H301*I301),2)</f>
        <v>138.38</v>
      </c>
      <c r="L301">
        <f>12*3.87</f>
        <v>46.44</v>
      </c>
    </row>
    <row r="302" spans="1:10" ht="27.75" customHeight="1">
      <c r="A302" s="500" t="s">
        <v>520</v>
      </c>
      <c r="B302" s="510" t="s">
        <v>513</v>
      </c>
      <c r="C302" s="1011" t="s">
        <v>514</v>
      </c>
      <c r="D302" s="1012"/>
      <c r="E302" s="1012"/>
      <c r="F302" s="1013"/>
      <c r="G302" s="592" t="s">
        <v>88</v>
      </c>
      <c r="H302" s="699">
        <f>(H301)*0.0491</f>
        <v>1.4068858679999998</v>
      </c>
      <c r="I302" s="511">
        <f>$K$7*16.75</f>
        <v>15.46695</v>
      </c>
      <c r="J302" s="486">
        <f t="shared" si="39"/>
        <v>21.76</v>
      </c>
    </row>
    <row r="303" spans="1:10" ht="14.25">
      <c r="A303" s="500" t="s">
        <v>520</v>
      </c>
      <c r="B303" s="510" t="s">
        <v>251</v>
      </c>
      <c r="C303" s="1011" t="s">
        <v>89</v>
      </c>
      <c r="D303" s="1012"/>
      <c r="E303" s="1012"/>
      <c r="F303" s="1013"/>
      <c r="G303" s="592" t="s">
        <v>88</v>
      </c>
      <c r="H303" s="699">
        <f>(H301)*0.0245</f>
        <v>0.70201026</v>
      </c>
      <c r="I303" s="511">
        <f>$K$7*15.84</f>
        <v>14.626656</v>
      </c>
      <c r="J303" s="486">
        <f t="shared" si="39"/>
        <v>10.27</v>
      </c>
    </row>
    <row r="304" spans="1:10" ht="27.75" customHeight="1">
      <c r="A304" s="500" t="s">
        <v>520</v>
      </c>
      <c r="B304" s="510" t="s">
        <v>525</v>
      </c>
      <c r="C304" s="1011" t="s">
        <v>526</v>
      </c>
      <c r="D304" s="1012"/>
      <c r="E304" s="1012"/>
      <c r="F304" s="1013"/>
      <c r="G304" s="592" t="s">
        <v>527</v>
      </c>
      <c r="H304" s="699">
        <f>(H301)*0.0016</f>
        <v>0.045845567999999996</v>
      </c>
      <c r="I304" s="511">
        <f>$K$7*18.45</f>
        <v>17.03673</v>
      </c>
      <c r="J304" s="486">
        <f t="shared" si="39"/>
        <v>0.78</v>
      </c>
    </row>
    <row r="305" spans="1:10" ht="28.5" customHeight="1">
      <c r="A305" s="500" t="s">
        <v>520</v>
      </c>
      <c r="B305" s="510" t="s">
        <v>528</v>
      </c>
      <c r="C305" s="1011" t="s">
        <v>529</v>
      </c>
      <c r="D305" s="1012"/>
      <c r="E305" s="1012"/>
      <c r="F305" s="1013"/>
      <c r="G305" s="592" t="s">
        <v>530</v>
      </c>
      <c r="H305" s="699">
        <f>(H301)*0.0022</f>
        <v>0.063037656</v>
      </c>
      <c r="I305" s="511">
        <f>$K$7*17.42</f>
        <v>16.085628</v>
      </c>
      <c r="J305" s="486">
        <f t="shared" si="39"/>
        <v>1.01</v>
      </c>
    </row>
    <row r="306" spans="1:10" ht="14.25">
      <c r="A306" s="500"/>
      <c r="B306" s="510"/>
      <c r="C306" s="588"/>
      <c r="D306" s="589"/>
      <c r="E306" s="589"/>
      <c r="F306" s="590"/>
      <c r="G306" s="388"/>
      <c r="H306" s="388"/>
      <c r="I306" s="511"/>
      <c r="J306" s="486">
        <f t="shared" si="39"/>
        <v>0</v>
      </c>
    </row>
    <row r="307" spans="1:10" ht="15">
      <c r="A307" s="516"/>
      <c r="B307" s="517"/>
      <c r="C307" s="517"/>
      <c r="D307" s="517"/>
      <c r="E307" s="517"/>
      <c r="F307" s="517"/>
      <c r="G307" s="518"/>
      <c r="H307" s="518"/>
      <c r="I307" s="519" t="s">
        <v>92</v>
      </c>
      <c r="J307" s="520">
        <f>SUM(J300:J306)</f>
        <v>372.53999999999996</v>
      </c>
    </row>
    <row r="309" spans="1:10" ht="15.75">
      <c r="A309" s="528" t="s">
        <v>600</v>
      </c>
      <c r="B309" s="529"/>
      <c r="C309" s="529"/>
      <c r="D309" s="529"/>
      <c r="E309" s="529"/>
      <c r="F309" s="529"/>
      <c r="G309" s="529"/>
      <c r="H309" s="529"/>
      <c r="I309" s="529"/>
      <c r="J309" s="452"/>
    </row>
    <row r="310" spans="1:10" ht="15.75">
      <c r="A310" s="232" t="s">
        <v>601</v>
      </c>
      <c r="B310" s="451"/>
      <c r="C310" s="451"/>
      <c r="D310" s="451"/>
      <c r="E310" s="451"/>
      <c r="F310" s="451"/>
      <c r="G310" s="451"/>
      <c r="H310" s="451"/>
      <c r="I310" s="452"/>
      <c r="J310" s="227" t="s">
        <v>587</v>
      </c>
    </row>
    <row r="311" spans="1:10" ht="30">
      <c r="A311" s="228" t="s">
        <v>78</v>
      </c>
      <c r="B311" s="229" t="s">
        <v>79</v>
      </c>
      <c r="C311" s="1005" t="s">
        <v>13</v>
      </c>
      <c r="D311" s="1006"/>
      <c r="E311" s="1006"/>
      <c r="F311" s="1007"/>
      <c r="G311" s="228" t="s">
        <v>91</v>
      </c>
      <c r="H311" s="230" t="s">
        <v>80</v>
      </c>
      <c r="I311" s="231" t="s">
        <v>81</v>
      </c>
      <c r="J311" s="181" t="s">
        <v>82</v>
      </c>
    </row>
    <row r="312" spans="1:10" ht="28.5">
      <c r="A312" s="698" t="s">
        <v>519</v>
      </c>
      <c r="B312" s="510" t="s">
        <v>583</v>
      </c>
      <c r="C312" s="1011" t="s">
        <v>584</v>
      </c>
      <c r="D312" s="1012"/>
      <c r="E312" s="1012"/>
      <c r="F312" s="1013"/>
      <c r="G312" s="592" t="s">
        <v>91</v>
      </c>
      <c r="H312" s="699">
        <f>4*6</f>
        <v>24</v>
      </c>
      <c r="I312" s="511">
        <f>$K$7*9.04</f>
        <v>8.347536</v>
      </c>
      <c r="J312" s="486">
        <f>ROUND((H312*I312),2)</f>
        <v>200.34</v>
      </c>
    </row>
    <row r="313" spans="1:12" ht="28.5">
      <c r="A313" s="698" t="s">
        <v>519</v>
      </c>
      <c r="B313" s="510" t="s">
        <v>585</v>
      </c>
      <c r="C313" s="1011" t="s">
        <v>586</v>
      </c>
      <c r="D313" s="1012"/>
      <c r="E313" s="1012"/>
      <c r="F313" s="1013"/>
      <c r="G313" s="592" t="s">
        <v>64</v>
      </c>
      <c r="H313" s="699">
        <f>0.617*(8*3.74+8*3.7)</f>
        <v>36.72384</v>
      </c>
      <c r="I313" s="511">
        <f>$K$7*5.23</f>
        <v>4.829382000000001</v>
      </c>
      <c r="J313" s="486">
        <f aca="true" t="shared" si="40" ref="J313:J318">ROUND((H313*I313),2)</f>
        <v>177.35</v>
      </c>
      <c r="L313">
        <f>(8*3.74+8*3.7)</f>
        <v>59.52</v>
      </c>
    </row>
    <row r="314" spans="1:10" ht="28.5" customHeight="1">
      <c r="A314" s="500" t="s">
        <v>520</v>
      </c>
      <c r="B314" s="510" t="s">
        <v>513</v>
      </c>
      <c r="C314" s="1011" t="s">
        <v>514</v>
      </c>
      <c r="D314" s="1012"/>
      <c r="E314" s="1012"/>
      <c r="F314" s="1013"/>
      <c r="G314" s="592" t="s">
        <v>88</v>
      </c>
      <c r="H314" s="699">
        <f>(H313)*0.0491</f>
        <v>1.8031405440000001</v>
      </c>
      <c r="I314" s="511">
        <f>$K$7*16.75</f>
        <v>15.46695</v>
      </c>
      <c r="J314" s="486">
        <f t="shared" si="40"/>
        <v>27.89</v>
      </c>
    </row>
    <row r="315" spans="1:10" ht="14.25">
      <c r="A315" s="500" t="s">
        <v>520</v>
      </c>
      <c r="B315" s="510" t="s">
        <v>251</v>
      </c>
      <c r="C315" s="1011" t="s">
        <v>89</v>
      </c>
      <c r="D315" s="1012"/>
      <c r="E315" s="1012"/>
      <c r="F315" s="1013"/>
      <c r="G315" s="592" t="s">
        <v>88</v>
      </c>
      <c r="H315" s="699">
        <f>(H313)*0.0245</f>
        <v>0.8997340800000001</v>
      </c>
      <c r="I315" s="511">
        <f>$K$7*15.84</f>
        <v>14.626656</v>
      </c>
      <c r="J315" s="486">
        <f t="shared" si="40"/>
        <v>13.16</v>
      </c>
    </row>
    <row r="316" spans="1:10" ht="27" customHeight="1">
      <c r="A316" s="500" t="s">
        <v>520</v>
      </c>
      <c r="B316" s="510" t="s">
        <v>525</v>
      </c>
      <c r="C316" s="1011" t="s">
        <v>526</v>
      </c>
      <c r="D316" s="1012"/>
      <c r="E316" s="1012"/>
      <c r="F316" s="1013"/>
      <c r="G316" s="592" t="s">
        <v>527</v>
      </c>
      <c r="H316" s="699">
        <f>(H313)*0.0016</f>
        <v>0.058758144000000005</v>
      </c>
      <c r="I316" s="511">
        <f>$K$7*18.45</f>
        <v>17.03673</v>
      </c>
      <c r="J316" s="486">
        <f t="shared" si="40"/>
        <v>1</v>
      </c>
    </row>
    <row r="317" spans="1:10" ht="27.75" customHeight="1">
      <c r="A317" s="500" t="s">
        <v>520</v>
      </c>
      <c r="B317" s="510" t="s">
        <v>528</v>
      </c>
      <c r="C317" s="1011" t="s">
        <v>529</v>
      </c>
      <c r="D317" s="1012"/>
      <c r="E317" s="1012"/>
      <c r="F317" s="1013"/>
      <c r="G317" s="592" t="s">
        <v>530</v>
      </c>
      <c r="H317" s="699">
        <f>(H313)*0.0022</f>
        <v>0.08079244800000002</v>
      </c>
      <c r="I317" s="511">
        <f>$K$7*17.42</f>
        <v>16.085628</v>
      </c>
      <c r="J317" s="486">
        <f t="shared" si="40"/>
        <v>1.3</v>
      </c>
    </row>
    <row r="318" spans="1:10" ht="14.25">
      <c r="A318" s="500"/>
      <c r="B318" s="510"/>
      <c r="C318" s="588"/>
      <c r="D318" s="589"/>
      <c r="E318" s="589"/>
      <c r="F318" s="590"/>
      <c r="G318" s="388"/>
      <c r="H318" s="388"/>
      <c r="I318" s="511"/>
      <c r="J318" s="486">
        <f t="shared" si="40"/>
        <v>0</v>
      </c>
    </row>
    <row r="319" spans="1:10" ht="15">
      <c r="A319" s="516"/>
      <c r="B319" s="517"/>
      <c r="C319" s="517"/>
      <c r="D319" s="517"/>
      <c r="E319" s="517"/>
      <c r="F319" s="517"/>
      <c r="G319" s="518"/>
      <c r="H319" s="518"/>
      <c r="I319" s="519" t="s">
        <v>92</v>
      </c>
      <c r="J319" s="520">
        <f>SUM(J312:J318)</f>
        <v>421.04</v>
      </c>
    </row>
    <row r="321" spans="1:10" ht="15.75">
      <c r="A321" s="528" t="s">
        <v>609</v>
      </c>
      <c r="B321" s="529"/>
      <c r="C321" s="529"/>
      <c r="D321" s="529"/>
      <c r="E321" s="529"/>
      <c r="F321" s="529"/>
      <c r="G321" s="529"/>
      <c r="H321" s="529"/>
      <c r="I321" s="529"/>
      <c r="J321" s="452"/>
    </row>
    <row r="322" spans="1:10" ht="15.75">
      <c r="A322" s="232" t="s">
        <v>436</v>
      </c>
      <c r="B322" s="225"/>
      <c r="C322" s="225"/>
      <c r="D322" s="225"/>
      <c r="E322" s="225"/>
      <c r="F322" s="225"/>
      <c r="G322" s="225"/>
      <c r="H322" s="225"/>
      <c r="I322" s="226"/>
      <c r="J322" s="227" t="s">
        <v>63</v>
      </c>
    </row>
    <row r="323" spans="1:10" ht="30">
      <c r="A323" s="228" t="s">
        <v>78</v>
      </c>
      <c r="B323" s="229" t="s">
        <v>79</v>
      </c>
      <c r="C323" s="1005" t="s">
        <v>13</v>
      </c>
      <c r="D323" s="1006"/>
      <c r="E323" s="1006"/>
      <c r="F323" s="1007"/>
      <c r="G323" s="228" t="s">
        <v>91</v>
      </c>
      <c r="H323" s="230" t="s">
        <v>80</v>
      </c>
      <c r="I323" s="231" t="s">
        <v>81</v>
      </c>
      <c r="J323" s="181" t="s">
        <v>82</v>
      </c>
    </row>
    <row r="324" spans="1:10" ht="25.5">
      <c r="A324" s="458" t="s">
        <v>519</v>
      </c>
      <c r="B324" s="463" t="s">
        <v>250</v>
      </c>
      <c r="C324" s="999" t="s">
        <v>252</v>
      </c>
      <c r="D324" s="1000"/>
      <c r="E324" s="1000"/>
      <c r="F324" s="1001"/>
      <c r="G324" s="694" t="s">
        <v>179</v>
      </c>
      <c r="H324" s="849">
        <v>0.051</v>
      </c>
      <c r="I324" s="486">
        <f>$K$7*4.64</f>
        <v>4.2845759999999995</v>
      </c>
      <c r="J324" s="486">
        <f>ROUND((H324*I324),2)</f>
        <v>0.22</v>
      </c>
    </row>
    <row r="325" spans="1:10" ht="14.25">
      <c r="A325" s="500" t="s">
        <v>83</v>
      </c>
      <c r="B325" s="510" t="s">
        <v>251</v>
      </c>
      <c r="C325" s="999" t="s">
        <v>89</v>
      </c>
      <c r="D325" s="1000"/>
      <c r="E325" s="1000"/>
      <c r="F325" s="1001"/>
      <c r="G325" s="388" t="s">
        <v>88</v>
      </c>
      <c r="H325" s="848">
        <v>0.14</v>
      </c>
      <c r="I325" s="511">
        <f>$K$7*15.84</f>
        <v>14.626656</v>
      </c>
      <c r="J325" s="511">
        <f>ROUND((H325*I325),2)</f>
        <v>2.05</v>
      </c>
    </row>
    <row r="326" spans="1:10" ht="15">
      <c r="A326" s="516"/>
      <c r="B326" s="517"/>
      <c r="C326" s="517"/>
      <c r="D326" s="517"/>
      <c r="E326" s="517"/>
      <c r="F326" s="517"/>
      <c r="G326" s="518"/>
      <c r="H326" s="518"/>
      <c r="I326" s="519" t="s">
        <v>92</v>
      </c>
      <c r="J326" s="520">
        <f>SUM(J324:J325)</f>
        <v>2.27</v>
      </c>
    </row>
    <row r="327" ht="12.75">
      <c r="L327">
        <f>'ORÇAMENTO NÃO DESONERADO'!F177</f>
        <v>0</v>
      </c>
    </row>
    <row r="328" spans="1:10" ht="15.75">
      <c r="A328" s="528" t="s">
        <v>648</v>
      </c>
      <c r="B328" s="529"/>
      <c r="C328" s="529"/>
      <c r="D328" s="529"/>
      <c r="E328" s="529"/>
      <c r="F328" s="529"/>
      <c r="G328" s="529"/>
      <c r="H328" s="529"/>
      <c r="I328" s="529"/>
      <c r="J328" s="452"/>
    </row>
    <row r="329" spans="1:10" ht="55.5" customHeight="1">
      <c r="A329" s="1008" t="s">
        <v>667</v>
      </c>
      <c r="B329" s="1009"/>
      <c r="C329" s="1009"/>
      <c r="D329" s="1009"/>
      <c r="E329" s="1009"/>
      <c r="F329" s="1009"/>
      <c r="G329" s="1009"/>
      <c r="H329" s="1009"/>
      <c r="I329" s="1010"/>
      <c r="J329" s="227" t="s">
        <v>437</v>
      </c>
    </row>
    <row r="330" spans="1:10" ht="30">
      <c r="A330" s="228" t="s">
        <v>78</v>
      </c>
      <c r="B330" s="229" t="s">
        <v>79</v>
      </c>
      <c r="C330" s="1005" t="s">
        <v>13</v>
      </c>
      <c r="D330" s="1006"/>
      <c r="E330" s="1006"/>
      <c r="F330" s="1007"/>
      <c r="G330" s="228" t="s">
        <v>91</v>
      </c>
      <c r="H330" s="230" t="s">
        <v>80</v>
      </c>
      <c r="I330" s="231" t="s">
        <v>81</v>
      </c>
      <c r="J330" s="181" t="s">
        <v>82</v>
      </c>
    </row>
    <row r="331" spans="1:10" ht="28.5" customHeight="1">
      <c r="A331" s="500" t="s">
        <v>520</v>
      </c>
      <c r="B331" s="510" t="s">
        <v>654</v>
      </c>
      <c r="C331" s="999" t="s">
        <v>163</v>
      </c>
      <c r="D331" s="1000"/>
      <c r="E331" s="1000"/>
      <c r="F331" s="1001"/>
      <c r="G331" s="592" t="s">
        <v>226</v>
      </c>
      <c r="H331" s="699">
        <f>5.75*0.3*0.4</f>
        <v>0.69</v>
      </c>
      <c r="I331" s="511">
        <f>$K$7*62.66</f>
        <v>57.860243999999994</v>
      </c>
      <c r="J331" s="486">
        <f>ROUND((H331*I331),2)</f>
        <v>39.92</v>
      </c>
    </row>
    <row r="332" spans="1:10" ht="43.5" customHeight="1">
      <c r="A332" s="500" t="s">
        <v>520</v>
      </c>
      <c r="B332" s="510" t="s">
        <v>653</v>
      </c>
      <c r="C332" s="999" t="s">
        <v>61</v>
      </c>
      <c r="D332" s="1000"/>
      <c r="E332" s="1000"/>
      <c r="F332" s="1001"/>
      <c r="G332" s="388" t="s">
        <v>226</v>
      </c>
      <c r="H332" s="388">
        <f>5.75*0.3*0.4</f>
        <v>0.69</v>
      </c>
      <c r="I332" s="511">
        <f>$K$7*415.35</f>
        <v>383.53419</v>
      </c>
      <c r="J332" s="486">
        <f>ROUND((H332*I332),2)</f>
        <v>264.64</v>
      </c>
    </row>
    <row r="333" spans="1:10" ht="58.5" customHeight="1">
      <c r="A333" s="500" t="s">
        <v>520</v>
      </c>
      <c r="B333" s="510">
        <v>101159</v>
      </c>
      <c r="C333" s="999" t="s">
        <v>624</v>
      </c>
      <c r="D333" s="1000"/>
      <c r="E333" s="1000"/>
      <c r="F333" s="1001"/>
      <c r="G333" s="592" t="s">
        <v>63</v>
      </c>
      <c r="H333" s="699">
        <f>5.75*0.34</f>
        <v>1.955</v>
      </c>
      <c r="I333" s="511">
        <f>$K$7*99.34</f>
        <v>91.730556</v>
      </c>
      <c r="J333" s="486">
        <f>ROUND((H333*I333),2)</f>
        <v>179.33</v>
      </c>
    </row>
    <row r="334" spans="1:10" ht="42" customHeight="1">
      <c r="A334" s="500" t="s">
        <v>520</v>
      </c>
      <c r="B334" s="510" t="s">
        <v>651</v>
      </c>
      <c r="C334" s="999" t="s">
        <v>652</v>
      </c>
      <c r="D334" s="1000"/>
      <c r="E334" s="1000"/>
      <c r="F334" s="1001"/>
      <c r="G334" s="592" t="s">
        <v>226</v>
      </c>
      <c r="H334" s="699">
        <f>5.75*0.4*0.34</f>
        <v>0.7820000000000001</v>
      </c>
      <c r="I334" s="511">
        <f>$K$7*53.8</f>
        <v>49.67892</v>
      </c>
      <c r="J334" s="486">
        <f aca="true" t="shared" si="41" ref="J334:J337">ROUND((H334*I334),2)</f>
        <v>38.85</v>
      </c>
    </row>
    <row r="335" spans="1:10" ht="57.75" customHeight="1">
      <c r="A335" s="500" t="s">
        <v>520</v>
      </c>
      <c r="B335" s="510" t="s">
        <v>285</v>
      </c>
      <c r="C335" s="999" t="s">
        <v>286</v>
      </c>
      <c r="D335" s="1000"/>
      <c r="E335" s="1000"/>
      <c r="F335" s="1001"/>
      <c r="G335" s="592" t="s">
        <v>63</v>
      </c>
      <c r="H335" s="699">
        <f>(4.41+3.01+0.6)*0.35</f>
        <v>2.8069999999999995</v>
      </c>
      <c r="I335" s="511">
        <f>$K$7*6.95</f>
        <v>6.41763</v>
      </c>
      <c r="J335" s="486">
        <f t="shared" si="41"/>
        <v>18.01</v>
      </c>
    </row>
    <row r="336" spans="1:10" ht="72" customHeight="1">
      <c r="A336" s="500" t="s">
        <v>520</v>
      </c>
      <c r="B336" s="510" t="s">
        <v>362</v>
      </c>
      <c r="C336" s="999" t="s">
        <v>363</v>
      </c>
      <c r="D336" s="1000"/>
      <c r="E336" s="1000"/>
      <c r="F336" s="1001"/>
      <c r="G336" s="592" t="s">
        <v>63</v>
      </c>
      <c r="H336" s="699">
        <f>H335</f>
        <v>2.8069999999999995</v>
      </c>
      <c r="I336" s="511">
        <f>$K$7*51.7</f>
        <v>47.73978</v>
      </c>
      <c r="J336" s="486">
        <f t="shared" si="41"/>
        <v>134.01</v>
      </c>
    </row>
    <row r="337" spans="1:10" ht="57.75" customHeight="1">
      <c r="A337" s="500" t="s">
        <v>520</v>
      </c>
      <c r="B337" s="510" t="s">
        <v>649</v>
      </c>
      <c r="C337" s="999" t="s">
        <v>650</v>
      </c>
      <c r="D337" s="1000"/>
      <c r="E337" s="1000"/>
      <c r="F337" s="1001"/>
      <c r="G337" s="592" t="s">
        <v>63</v>
      </c>
      <c r="H337" s="699">
        <f>5.27*0.5</f>
        <v>2.635</v>
      </c>
      <c r="I337" s="511">
        <f>$K$7*64.3</f>
        <v>59.37462</v>
      </c>
      <c r="J337" s="486">
        <f t="shared" si="41"/>
        <v>156.45</v>
      </c>
    </row>
    <row r="338" spans="1:10" ht="45" customHeight="1">
      <c r="A338" s="698" t="s">
        <v>660</v>
      </c>
      <c r="B338" s="510" t="s">
        <v>657</v>
      </c>
      <c r="C338" s="999" t="s">
        <v>658</v>
      </c>
      <c r="D338" s="1000"/>
      <c r="E338" s="1000"/>
      <c r="F338" s="1001"/>
      <c r="G338" s="388" t="s">
        <v>179</v>
      </c>
      <c r="H338" s="388">
        <v>1</v>
      </c>
      <c r="I338" s="511">
        <f>$K$7*25.37</f>
        <v>23.426658</v>
      </c>
      <c r="J338" s="486">
        <f aca="true" t="shared" si="42" ref="J338:J341">ROUND((H338*I338),2)</f>
        <v>23.43</v>
      </c>
    </row>
    <row r="339" spans="1:10" ht="45" customHeight="1">
      <c r="A339" s="500" t="s">
        <v>659</v>
      </c>
      <c r="B339" s="510" t="s">
        <v>662</v>
      </c>
      <c r="C339" s="999" t="s">
        <v>663</v>
      </c>
      <c r="D339" s="1000"/>
      <c r="E339" s="1000"/>
      <c r="F339" s="1001"/>
      <c r="G339" s="388" t="s">
        <v>88</v>
      </c>
      <c r="H339" s="388">
        <v>1</v>
      </c>
      <c r="I339" s="511">
        <f>$K$7*21.19</f>
        <v>19.566846</v>
      </c>
      <c r="J339" s="486">
        <f t="shared" si="42"/>
        <v>19.57</v>
      </c>
    </row>
    <row r="340" spans="1:10" ht="31.5" customHeight="1">
      <c r="A340" s="500" t="s">
        <v>520</v>
      </c>
      <c r="B340" s="510">
        <v>88483</v>
      </c>
      <c r="C340" s="999" t="s">
        <v>234</v>
      </c>
      <c r="D340" s="1000"/>
      <c r="E340" s="1000"/>
      <c r="F340" s="1001"/>
      <c r="G340" s="592" t="s">
        <v>63</v>
      </c>
      <c r="H340" s="388">
        <f>H335</f>
        <v>2.8069999999999995</v>
      </c>
      <c r="I340" s="511">
        <f>$K$7*2.4</f>
        <v>2.21616</v>
      </c>
      <c r="J340" s="486">
        <f t="shared" si="42"/>
        <v>6.22</v>
      </c>
    </row>
    <row r="341" spans="1:10" ht="46.5" customHeight="1">
      <c r="A341" s="500" t="s">
        <v>520</v>
      </c>
      <c r="B341" s="510" t="s">
        <v>281</v>
      </c>
      <c r="C341" s="999" t="s">
        <v>282</v>
      </c>
      <c r="D341" s="1000"/>
      <c r="E341" s="1000"/>
      <c r="F341" s="1001"/>
      <c r="G341" s="592" t="s">
        <v>63</v>
      </c>
      <c r="H341" s="388">
        <f>H335</f>
        <v>2.8069999999999995</v>
      </c>
      <c r="I341" s="511">
        <f>$K$7*18.82</f>
        <v>17.378388</v>
      </c>
      <c r="J341" s="486">
        <f t="shared" si="42"/>
        <v>48.78</v>
      </c>
    </row>
    <row r="342" spans="1:10" ht="15">
      <c r="A342" s="516"/>
      <c r="B342" s="517"/>
      <c r="C342" s="517"/>
      <c r="D342" s="517"/>
      <c r="E342" s="517"/>
      <c r="F342" s="517"/>
      <c r="G342" s="518"/>
      <c r="H342" s="518"/>
      <c r="I342" s="519" t="s">
        <v>92</v>
      </c>
      <c r="J342" s="520">
        <f>SUM(J331:J341)</f>
        <v>929.21</v>
      </c>
    </row>
    <row r="344" spans="1:10" ht="15.75">
      <c r="A344" s="528" t="s">
        <v>655</v>
      </c>
      <c r="B344" s="529"/>
      <c r="C344" s="529"/>
      <c r="D344" s="529"/>
      <c r="E344" s="529"/>
      <c r="F344" s="529"/>
      <c r="G344" s="529"/>
      <c r="H344" s="529"/>
      <c r="I344" s="529"/>
      <c r="J344" s="452"/>
    </row>
    <row r="345" spans="1:10" ht="67.5" customHeight="1">
      <c r="A345" s="1008" t="s">
        <v>666</v>
      </c>
      <c r="B345" s="1009"/>
      <c r="C345" s="1009"/>
      <c r="D345" s="1009"/>
      <c r="E345" s="1009"/>
      <c r="F345" s="1009"/>
      <c r="G345" s="1009"/>
      <c r="H345" s="1009"/>
      <c r="I345" s="1010"/>
      <c r="J345" s="227" t="s">
        <v>437</v>
      </c>
    </row>
    <row r="346" spans="1:10" ht="30">
      <c r="A346" s="228" t="s">
        <v>78</v>
      </c>
      <c r="B346" s="229" t="s">
        <v>79</v>
      </c>
      <c r="C346" s="1005" t="s">
        <v>13</v>
      </c>
      <c r="D346" s="1006"/>
      <c r="E346" s="1006"/>
      <c r="F346" s="1007"/>
      <c r="G346" s="228" t="s">
        <v>91</v>
      </c>
      <c r="H346" s="230" t="s">
        <v>80</v>
      </c>
      <c r="I346" s="231" t="s">
        <v>81</v>
      </c>
      <c r="J346" s="181" t="s">
        <v>82</v>
      </c>
    </row>
    <row r="347" spans="1:10" ht="46.5" customHeight="1">
      <c r="A347" s="500" t="s">
        <v>520</v>
      </c>
      <c r="B347" s="510" t="s">
        <v>654</v>
      </c>
      <c r="C347" s="999" t="s">
        <v>163</v>
      </c>
      <c r="D347" s="1000"/>
      <c r="E347" s="1000"/>
      <c r="F347" s="1001"/>
      <c r="G347" s="592" t="s">
        <v>226</v>
      </c>
      <c r="H347" s="699">
        <f>6.45*0.3*0.4</f>
        <v>0.774</v>
      </c>
      <c r="I347" s="511">
        <f>$K$7*62.66</f>
        <v>57.860243999999994</v>
      </c>
      <c r="J347" s="486">
        <f>ROUND((H347*I347),2)</f>
        <v>44.78</v>
      </c>
    </row>
    <row r="348" spans="1:10" ht="46.5" customHeight="1">
      <c r="A348" s="500" t="s">
        <v>520</v>
      </c>
      <c r="B348" s="510" t="s">
        <v>653</v>
      </c>
      <c r="C348" s="999" t="s">
        <v>61</v>
      </c>
      <c r="D348" s="1000"/>
      <c r="E348" s="1000"/>
      <c r="F348" s="1001"/>
      <c r="G348" s="388" t="s">
        <v>226</v>
      </c>
      <c r="H348" s="388">
        <f>6.45*0.3*0.4</f>
        <v>0.774</v>
      </c>
      <c r="I348" s="511">
        <f>$K$7*415.35</f>
        <v>383.53419</v>
      </c>
      <c r="J348" s="486">
        <f>ROUND((H348*I348),2)</f>
        <v>296.86</v>
      </c>
    </row>
    <row r="349" spans="1:10" ht="58.5" customHeight="1">
      <c r="A349" s="500" t="s">
        <v>520</v>
      </c>
      <c r="B349" s="510">
        <v>101159</v>
      </c>
      <c r="C349" s="999" t="s">
        <v>624</v>
      </c>
      <c r="D349" s="1000"/>
      <c r="E349" s="1000"/>
      <c r="F349" s="1001"/>
      <c r="G349" s="592" t="s">
        <v>63</v>
      </c>
      <c r="H349" s="699">
        <f>6.45*0.34</f>
        <v>2.193</v>
      </c>
      <c r="I349" s="511">
        <f>$K$7*99.34</f>
        <v>91.730556</v>
      </c>
      <c r="J349" s="486">
        <f>ROUND((H349*I349),2)</f>
        <v>201.17</v>
      </c>
    </row>
    <row r="350" spans="1:10" ht="46.5" customHeight="1">
      <c r="A350" s="500" t="s">
        <v>520</v>
      </c>
      <c r="B350" s="510" t="s">
        <v>651</v>
      </c>
      <c r="C350" s="999" t="s">
        <v>652</v>
      </c>
      <c r="D350" s="1000"/>
      <c r="E350" s="1000"/>
      <c r="F350" s="1001"/>
      <c r="G350" s="592" t="s">
        <v>226</v>
      </c>
      <c r="H350" s="699">
        <f>6.45*0.4*0.34</f>
        <v>0.8772000000000001</v>
      </c>
      <c r="I350" s="511">
        <f>$K$7*53.8</f>
        <v>49.67892</v>
      </c>
      <c r="J350" s="486">
        <f aca="true" t="shared" si="43" ref="J350:J353">ROUND((H350*I350),2)</f>
        <v>43.58</v>
      </c>
    </row>
    <row r="351" spans="1:10" ht="59.25" customHeight="1">
      <c r="A351" s="500" t="s">
        <v>520</v>
      </c>
      <c r="B351" s="510" t="s">
        <v>285</v>
      </c>
      <c r="C351" s="999" t="s">
        <v>286</v>
      </c>
      <c r="D351" s="1000"/>
      <c r="E351" s="1000"/>
      <c r="F351" s="1001"/>
      <c r="G351" s="592" t="s">
        <v>63</v>
      </c>
      <c r="H351" s="699">
        <f>(0.5+4.05+1.5+0.5)*0.35</f>
        <v>2.2925</v>
      </c>
      <c r="I351" s="511">
        <f>$K$7*6.95</f>
        <v>6.41763</v>
      </c>
      <c r="J351" s="486">
        <f t="shared" si="43"/>
        <v>14.71</v>
      </c>
    </row>
    <row r="352" spans="1:10" ht="73.5" customHeight="1">
      <c r="A352" s="500" t="s">
        <v>520</v>
      </c>
      <c r="B352" s="510" t="s">
        <v>362</v>
      </c>
      <c r="C352" s="999" t="s">
        <v>363</v>
      </c>
      <c r="D352" s="1000"/>
      <c r="E352" s="1000"/>
      <c r="F352" s="1001"/>
      <c r="G352" s="592" t="s">
        <v>63</v>
      </c>
      <c r="H352" s="699">
        <f>H351</f>
        <v>2.2925</v>
      </c>
      <c r="I352" s="511">
        <f>$K$7*51.7</f>
        <v>47.73978</v>
      </c>
      <c r="J352" s="486">
        <f t="shared" si="43"/>
        <v>109.44</v>
      </c>
    </row>
    <row r="353" spans="1:10" ht="59.25" customHeight="1">
      <c r="A353" s="500" t="s">
        <v>520</v>
      </c>
      <c r="B353" s="510" t="s">
        <v>649</v>
      </c>
      <c r="C353" s="999" t="s">
        <v>650</v>
      </c>
      <c r="D353" s="1000"/>
      <c r="E353" s="1000"/>
      <c r="F353" s="1001"/>
      <c r="G353" s="592" t="s">
        <v>63</v>
      </c>
      <c r="H353" s="699">
        <f>6.15*0.5</f>
        <v>3.075</v>
      </c>
      <c r="I353" s="511">
        <f>$K$7*64.3</f>
        <v>59.37462</v>
      </c>
      <c r="J353" s="486">
        <f t="shared" si="43"/>
        <v>182.58</v>
      </c>
    </row>
    <row r="354" spans="1:10" ht="45" customHeight="1">
      <c r="A354" s="698" t="s">
        <v>660</v>
      </c>
      <c r="B354" s="510" t="s">
        <v>657</v>
      </c>
      <c r="C354" s="999" t="s">
        <v>658</v>
      </c>
      <c r="D354" s="1000"/>
      <c r="E354" s="1000"/>
      <c r="F354" s="1001"/>
      <c r="G354" s="388" t="s">
        <v>179</v>
      </c>
      <c r="H354" s="388">
        <v>1</v>
      </c>
      <c r="I354" s="511">
        <f>$K$7*25.37</f>
        <v>23.426658</v>
      </c>
      <c r="J354" s="486">
        <f aca="true" t="shared" si="44" ref="J354:J357">ROUND((H354*I354),2)</f>
        <v>23.43</v>
      </c>
    </row>
    <row r="355" spans="1:10" ht="45" customHeight="1">
      <c r="A355" s="500" t="s">
        <v>659</v>
      </c>
      <c r="B355" s="510" t="s">
        <v>662</v>
      </c>
      <c r="C355" s="999" t="s">
        <v>663</v>
      </c>
      <c r="D355" s="1000"/>
      <c r="E355" s="1000"/>
      <c r="F355" s="1001"/>
      <c r="G355" s="388" t="s">
        <v>88</v>
      </c>
      <c r="H355" s="388">
        <v>2.3</v>
      </c>
      <c r="I355" s="511">
        <f>$K$7*21.19</f>
        <v>19.566846</v>
      </c>
      <c r="J355" s="486">
        <f t="shared" si="44"/>
        <v>45</v>
      </c>
    </row>
    <row r="356" spans="1:10" ht="31.5" customHeight="1">
      <c r="A356" s="500" t="s">
        <v>520</v>
      </c>
      <c r="B356" s="510">
        <v>88483</v>
      </c>
      <c r="C356" s="999" t="s">
        <v>234</v>
      </c>
      <c r="D356" s="1000"/>
      <c r="E356" s="1000"/>
      <c r="F356" s="1001"/>
      <c r="G356" s="592" t="s">
        <v>63</v>
      </c>
      <c r="H356" s="388">
        <f>H351</f>
        <v>2.2925</v>
      </c>
      <c r="I356" s="511">
        <f>$K$7*2.4</f>
        <v>2.21616</v>
      </c>
      <c r="J356" s="486">
        <f t="shared" si="44"/>
        <v>5.08</v>
      </c>
    </row>
    <row r="357" spans="1:10" ht="46.5" customHeight="1">
      <c r="A357" s="500" t="s">
        <v>520</v>
      </c>
      <c r="B357" s="510" t="s">
        <v>281</v>
      </c>
      <c r="C357" s="999" t="s">
        <v>282</v>
      </c>
      <c r="D357" s="1000"/>
      <c r="E357" s="1000"/>
      <c r="F357" s="1001"/>
      <c r="G357" s="592" t="s">
        <v>63</v>
      </c>
      <c r="H357" s="388">
        <f>H351</f>
        <v>2.2925</v>
      </c>
      <c r="I357" s="511">
        <f>$K$7*18.82</f>
        <v>17.378388</v>
      </c>
      <c r="J357" s="486">
        <f t="shared" si="44"/>
        <v>39.84</v>
      </c>
    </row>
    <row r="358" spans="1:10" ht="15">
      <c r="A358" s="516"/>
      <c r="B358" s="517"/>
      <c r="C358" s="517"/>
      <c r="D358" s="517"/>
      <c r="E358" s="517"/>
      <c r="F358" s="517"/>
      <c r="G358" s="518"/>
      <c r="H358" s="518"/>
      <c r="I358" s="519" t="s">
        <v>92</v>
      </c>
      <c r="J358" s="520">
        <f>SUM(J347:J357)</f>
        <v>1006.47</v>
      </c>
    </row>
    <row r="360" spans="1:10" ht="15.75">
      <c r="A360" s="528" t="s">
        <v>656</v>
      </c>
      <c r="B360" s="529"/>
      <c r="C360" s="529"/>
      <c r="D360" s="529"/>
      <c r="E360" s="529"/>
      <c r="F360" s="529"/>
      <c r="G360" s="529"/>
      <c r="H360" s="529"/>
      <c r="I360" s="529"/>
      <c r="J360" s="452"/>
    </row>
    <row r="361" spans="1:10" ht="48.75" customHeight="1">
      <c r="A361" s="1008" t="s">
        <v>665</v>
      </c>
      <c r="B361" s="1009"/>
      <c r="C361" s="1009"/>
      <c r="D361" s="1009"/>
      <c r="E361" s="1009"/>
      <c r="F361" s="1009"/>
      <c r="G361" s="1009"/>
      <c r="H361" s="1009"/>
      <c r="I361" s="1010"/>
      <c r="J361" s="227" t="s">
        <v>437</v>
      </c>
    </row>
    <row r="362" spans="1:10" ht="30">
      <c r="A362" s="228" t="s">
        <v>78</v>
      </c>
      <c r="B362" s="229" t="s">
        <v>79</v>
      </c>
      <c r="C362" s="1005" t="s">
        <v>13</v>
      </c>
      <c r="D362" s="1006"/>
      <c r="E362" s="1006"/>
      <c r="F362" s="1007"/>
      <c r="G362" s="228" t="s">
        <v>91</v>
      </c>
      <c r="H362" s="230" t="s">
        <v>80</v>
      </c>
      <c r="I362" s="231" t="s">
        <v>81</v>
      </c>
      <c r="J362" s="181" t="s">
        <v>82</v>
      </c>
    </row>
    <row r="363" spans="1:10" ht="43.5" customHeight="1">
      <c r="A363" s="500" t="s">
        <v>520</v>
      </c>
      <c r="B363" s="510" t="s">
        <v>654</v>
      </c>
      <c r="C363" s="999" t="s">
        <v>163</v>
      </c>
      <c r="D363" s="1000"/>
      <c r="E363" s="1000"/>
      <c r="F363" s="1001"/>
      <c r="G363" s="592" t="s">
        <v>226</v>
      </c>
      <c r="H363" s="699">
        <f>5.6*0.3*0.4</f>
        <v>0.672</v>
      </c>
      <c r="I363" s="511">
        <f>$K$7*62.66</f>
        <v>57.860243999999994</v>
      </c>
      <c r="J363" s="486">
        <f>ROUND((H363*I363),2)</f>
        <v>38.88</v>
      </c>
    </row>
    <row r="364" spans="1:10" ht="43.5" customHeight="1">
      <c r="A364" s="500" t="s">
        <v>520</v>
      </c>
      <c r="B364" s="510" t="s">
        <v>653</v>
      </c>
      <c r="C364" s="999" t="s">
        <v>61</v>
      </c>
      <c r="D364" s="1000"/>
      <c r="E364" s="1000"/>
      <c r="F364" s="1001"/>
      <c r="G364" s="388" t="s">
        <v>226</v>
      </c>
      <c r="H364" s="388">
        <f>5.6*0.3*0.4</f>
        <v>0.672</v>
      </c>
      <c r="I364" s="511">
        <f>$K$7*415.35</f>
        <v>383.53419</v>
      </c>
      <c r="J364" s="486">
        <f>ROUND((H364*I364),2)</f>
        <v>257.73</v>
      </c>
    </row>
    <row r="365" spans="1:10" ht="43.5" customHeight="1">
      <c r="A365" s="500" t="s">
        <v>520</v>
      </c>
      <c r="B365" s="510">
        <v>101159</v>
      </c>
      <c r="C365" s="999" t="s">
        <v>624</v>
      </c>
      <c r="D365" s="1000"/>
      <c r="E365" s="1000"/>
      <c r="F365" s="1001"/>
      <c r="G365" s="592" t="s">
        <v>63</v>
      </c>
      <c r="H365" s="699">
        <f>5.6*0.34</f>
        <v>1.904</v>
      </c>
      <c r="I365" s="511">
        <f>$K$7*99.34</f>
        <v>91.730556</v>
      </c>
      <c r="J365" s="486">
        <f>ROUND((H365*I365),2)</f>
        <v>174.65</v>
      </c>
    </row>
    <row r="366" spans="1:10" ht="43.5" customHeight="1">
      <c r="A366" s="500" t="s">
        <v>520</v>
      </c>
      <c r="B366" s="510" t="s">
        <v>651</v>
      </c>
      <c r="C366" s="999" t="s">
        <v>652</v>
      </c>
      <c r="D366" s="1000"/>
      <c r="E366" s="1000"/>
      <c r="F366" s="1001"/>
      <c r="G366" s="592" t="s">
        <v>226</v>
      </c>
      <c r="H366" s="699">
        <f>5.02*0.4*0.34</f>
        <v>0.6827200000000001</v>
      </c>
      <c r="I366" s="511">
        <f>$K$7*53.8</f>
        <v>49.67892</v>
      </c>
      <c r="J366" s="486">
        <f aca="true" t="shared" si="45" ref="J366:J369">ROUND((H366*I366),2)</f>
        <v>33.92</v>
      </c>
    </row>
    <row r="367" spans="1:10" ht="59.25" customHeight="1">
      <c r="A367" s="500" t="s">
        <v>520</v>
      </c>
      <c r="B367" s="510" t="s">
        <v>285</v>
      </c>
      <c r="C367" s="999" t="s">
        <v>286</v>
      </c>
      <c r="D367" s="1000"/>
      <c r="E367" s="1000"/>
      <c r="F367" s="1001"/>
      <c r="G367" s="592" t="s">
        <v>63</v>
      </c>
      <c r="H367" s="699">
        <f>(0.5+2.8+12.35)*0.35</f>
        <v>5.477499999999999</v>
      </c>
      <c r="I367" s="511">
        <f>$K$7*6.95</f>
        <v>6.41763</v>
      </c>
      <c r="J367" s="486">
        <f t="shared" si="45"/>
        <v>35.15</v>
      </c>
    </row>
    <row r="368" spans="1:10" ht="73.5" customHeight="1">
      <c r="A368" s="500" t="s">
        <v>520</v>
      </c>
      <c r="B368" s="510" t="s">
        <v>362</v>
      </c>
      <c r="C368" s="999" t="s">
        <v>363</v>
      </c>
      <c r="D368" s="1000"/>
      <c r="E368" s="1000"/>
      <c r="F368" s="1001"/>
      <c r="G368" s="592" t="s">
        <v>63</v>
      </c>
      <c r="H368" s="699">
        <f>H367</f>
        <v>5.477499999999999</v>
      </c>
      <c r="I368" s="511">
        <f>$K$7*51.7</f>
        <v>47.73978</v>
      </c>
      <c r="J368" s="486">
        <f t="shared" si="45"/>
        <v>261.49</v>
      </c>
    </row>
    <row r="369" spans="1:10" ht="59.25" customHeight="1">
      <c r="A369" s="500" t="s">
        <v>520</v>
      </c>
      <c r="B369" s="510" t="s">
        <v>649</v>
      </c>
      <c r="C369" s="999" t="s">
        <v>650</v>
      </c>
      <c r="D369" s="1000"/>
      <c r="E369" s="1000"/>
      <c r="F369" s="1001"/>
      <c r="G369" s="592" t="s">
        <v>63</v>
      </c>
      <c r="H369" s="699">
        <f>5.12*0.5</f>
        <v>2.56</v>
      </c>
      <c r="I369" s="511">
        <f>$K$7*64.3</f>
        <v>59.37462</v>
      </c>
      <c r="J369" s="486">
        <f t="shared" si="45"/>
        <v>152</v>
      </c>
    </row>
    <row r="370" spans="1:10" ht="45" customHeight="1">
      <c r="A370" s="698" t="s">
        <v>660</v>
      </c>
      <c r="B370" s="510" t="s">
        <v>657</v>
      </c>
      <c r="C370" s="999" t="s">
        <v>658</v>
      </c>
      <c r="D370" s="1000"/>
      <c r="E370" s="1000"/>
      <c r="F370" s="1001"/>
      <c r="G370" s="388" t="s">
        <v>179</v>
      </c>
      <c r="H370" s="388">
        <v>1</v>
      </c>
      <c r="I370" s="511">
        <f>$K$7*25.37</f>
        <v>23.426658</v>
      </c>
      <c r="J370" s="486">
        <f aca="true" t="shared" si="46" ref="J370:J373">ROUND((H370*I370),2)</f>
        <v>23.43</v>
      </c>
    </row>
    <row r="371" spans="1:10" ht="45" customHeight="1">
      <c r="A371" s="500" t="s">
        <v>659</v>
      </c>
      <c r="B371" s="510" t="s">
        <v>662</v>
      </c>
      <c r="C371" s="999" t="s">
        <v>663</v>
      </c>
      <c r="D371" s="1000"/>
      <c r="E371" s="1000"/>
      <c r="F371" s="1001"/>
      <c r="G371" s="388" t="s">
        <v>88</v>
      </c>
      <c r="H371" s="388">
        <v>3</v>
      </c>
      <c r="I371" s="511">
        <f>$K$7*21.19</f>
        <v>19.566846</v>
      </c>
      <c r="J371" s="486">
        <f t="shared" si="46"/>
        <v>58.7</v>
      </c>
    </row>
    <row r="372" spans="1:10" ht="31.5" customHeight="1">
      <c r="A372" s="500" t="s">
        <v>520</v>
      </c>
      <c r="B372" s="510">
        <v>88483</v>
      </c>
      <c r="C372" s="999" t="s">
        <v>234</v>
      </c>
      <c r="D372" s="1000"/>
      <c r="E372" s="1000"/>
      <c r="F372" s="1001"/>
      <c r="G372" s="592" t="s">
        <v>63</v>
      </c>
      <c r="H372" s="388">
        <f>H367</f>
        <v>5.477499999999999</v>
      </c>
      <c r="I372" s="511">
        <f>$K$7*2.4</f>
        <v>2.21616</v>
      </c>
      <c r="J372" s="486">
        <f t="shared" si="46"/>
        <v>12.14</v>
      </c>
    </row>
    <row r="373" spans="1:10" ht="46.5" customHeight="1">
      <c r="A373" s="500" t="s">
        <v>520</v>
      </c>
      <c r="B373" s="510" t="s">
        <v>281</v>
      </c>
      <c r="C373" s="999" t="s">
        <v>282</v>
      </c>
      <c r="D373" s="1000"/>
      <c r="E373" s="1000"/>
      <c r="F373" s="1001"/>
      <c r="G373" s="592" t="s">
        <v>63</v>
      </c>
      <c r="H373" s="388">
        <f>H367</f>
        <v>5.477499999999999</v>
      </c>
      <c r="I373" s="511">
        <f>$K$7*18.82</f>
        <v>17.378388</v>
      </c>
      <c r="J373" s="486">
        <f t="shared" si="46"/>
        <v>95.19</v>
      </c>
    </row>
    <row r="374" spans="1:10" ht="15">
      <c r="A374" s="516"/>
      <c r="B374" s="517"/>
      <c r="C374" s="517"/>
      <c r="D374" s="517"/>
      <c r="E374" s="517"/>
      <c r="F374" s="517"/>
      <c r="G374" s="518"/>
      <c r="H374" s="518"/>
      <c r="I374" s="519" t="s">
        <v>92</v>
      </c>
      <c r="J374" s="520">
        <f>SUM(J363:J373)</f>
        <v>1143.2800000000002</v>
      </c>
    </row>
    <row r="376" spans="1:10" ht="15.75">
      <c r="A376" s="528" t="s">
        <v>670</v>
      </c>
      <c r="B376" s="529"/>
      <c r="C376" s="529"/>
      <c r="D376" s="529"/>
      <c r="E376" s="529"/>
      <c r="F376" s="529"/>
      <c r="G376" s="529"/>
      <c r="H376" s="529"/>
      <c r="I376" s="529"/>
      <c r="J376" s="452"/>
    </row>
    <row r="377" spans="1:10" ht="33.75" customHeight="1">
      <c r="A377" s="1008" t="s">
        <v>236</v>
      </c>
      <c r="B377" s="1009"/>
      <c r="C377" s="1009"/>
      <c r="D377" s="1009"/>
      <c r="E377" s="1009"/>
      <c r="F377" s="1009"/>
      <c r="G377" s="1009"/>
      <c r="H377" s="1009"/>
      <c r="I377" s="1010"/>
      <c r="J377" s="227" t="s">
        <v>63</v>
      </c>
    </row>
    <row r="378" spans="1:10" ht="30">
      <c r="A378" s="228" t="s">
        <v>78</v>
      </c>
      <c r="B378" s="229" t="s">
        <v>79</v>
      </c>
      <c r="C378" s="1005" t="s">
        <v>13</v>
      </c>
      <c r="D378" s="1006"/>
      <c r="E378" s="1006"/>
      <c r="F378" s="1007"/>
      <c r="G378" s="228" t="s">
        <v>91</v>
      </c>
      <c r="H378" s="230" t="s">
        <v>80</v>
      </c>
      <c r="I378" s="231" t="s">
        <v>81</v>
      </c>
      <c r="J378" s="181" t="s">
        <v>82</v>
      </c>
    </row>
    <row r="379" spans="1:10" ht="28.5">
      <c r="A379" s="698" t="s">
        <v>707</v>
      </c>
      <c r="B379" s="510" t="s">
        <v>671</v>
      </c>
      <c r="C379" s="999" t="s">
        <v>86</v>
      </c>
      <c r="D379" s="1000"/>
      <c r="E379" s="1000"/>
      <c r="F379" s="1001"/>
      <c r="G379" s="592" t="s">
        <v>277</v>
      </c>
      <c r="H379" s="699">
        <v>12</v>
      </c>
      <c r="I379" s="511">
        <f>$K$7*0.79</f>
        <v>0.7294860000000001</v>
      </c>
      <c r="J379" s="486">
        <f>ROUND((H379*I379),2)</f>
        <v>8.75</v>
      </c>
    </row>
    <row r="380" spans="1:10" ht="28.5" customHeight="1">
      <c r="A380" s="698" t="s">
        <v>707</v>
      </c>
      <c r="B380" s="510" t="s">
        <v>672</v>
      </c>
      <c r="C380" s="999" t="s">
        <v>673</v>
      </c>
      <c r="D380" s="1000"/>
      <c r="E380" s="1000"/>
      <c r="F380" s="1001"/>
      <c r="G380" s="388" t="s">
        <v>247</v>
      </c>
      <c r="H380" s="388">
        <v>2</v>
      </c>
      <c r="I380" s="511">
        <f>$K$7*0.88</f>
        <v>0.812592</v>
      </c>
      <c r="J380" s="486">
        <f>ROUND((H380*I380),2)</f>
        <v>1.63</v>
      </c>
    </row>
    <row r="381" spans="1:10" ht="28.5" customHeight="1">
      <c r="A381" s="698" t="s">
        <v>707</v>
      </c>
      <c r="B381" s="510" t="s">
        <v>674</v>
      </c>
      <c r="C381" s="999" t="s">
        <v>675</v>
      </c>
      <c r="D381" s="1000"/>
      <c r="E381" s="1000"/>
      <c r="F381" s="1001"/>
      <c r="G381" s="592" t="s">
        <v>277</v>
      </c>
      <c r="H381" s="699">
        <v>22</v>
      </c>
      <c r="I381" s="511">
        <f>$K$7*0.39</f>
        <v>0.360126</v>
      </c>
      <c r="J381" s="486">
        <f>ROUND((H381*I381),2)</f>
        <v>7.92</v>
      </c>
    </row>
    <row r="382" spans="1:10" ht="28.5">
      <c r="A382" s="698" t="s">
        <v>707</v>
      </c>
      <c r="B382" s="510" t="s">
        <v>676</v>
      </c>
      <c r="C382" s="999" t="s">
        <v>677</v>
      </c>
      <c r="D382" s="1000"/>
      <c r="E382" s="1000"/>
      <c r="F382" s="1001"/>
      <c r="G382" s="592" t="s">
        <v>681</v>
      </c>
      <c r="H382" s="699">
        <v>0.21176</v>
      </c>
      <c r="I382" s="511">
        <f>$K$7*27.97</f>
        <v>25.827498</v>
      </c>
      <c r="J382" s="486">
        <f aca="true" t="shared" si="47" ref="J382:J386">ROUND((H382*I382),2)</f>
        <v>5.47</v>
      </c>
    </row>
    <row r="383" spans="1:10" ht="28.5">
      <c r="A383" s="698" t="s">
        <v>708</v>
      </c>
      <c r="B383" s="510" t="s">
        <v>678</v>
      </c>
      <c r="C383" s="999" t="s">
        <v>87</v>
      </c>
      <c r="D383" s="1000"/>
      <c r="E383" s="1000"/>
      <c r="F383" s="1001"/>
      <c r="G383" s="592" t="s">
        <v>88</v>
      </c>
      <c r="H383" s="699">
        <v>0.7</v>
      </c>
      <c r="I383" s="511">
        <f>$K$7*20.08</f>
        <v>18.541871999999998</v>
      </c>
      <c r="J383" s="486">
        <f t="shared" si="47"/>
        <v>12.98</v>
      </c>
    </row>
    <row r="384" spans="1:10" ht="28.5">
      <c r="A384" s="698" t="s">
        <v>708</v>
      </c>
      <c r="B384" s="510" t="s">
        <v>251</v>
      </c>
      <c r="C384" s="999" t="s">
        <v>89</v>
      </c>
      <c r="D384" s="1000"/>
      <c r="E384" s="1000"/>
      <c r="F384" s="1001"/>
      <c r="G384" s="592" t="s">
        <v>88</v>
      </c>
      <c r="H384" s="699">
        <v>3.37</v>
      </c>
      <c r="I384" s="511">
        <f>$K$7*15.84</f>
        <v>14.626656</v>
      </c>
      <c r="J384" s="486">
        <f t="shared" si="47"/>
        <v>49.29</v>
      </c>
    </row>
    <row r="385" spans="1:10" ht="28.5" customHeight="1">
      <c r="A385" s="698" t="s">
        <v>708</v>
      </c>
      <c r="B385" s="510" t="s">
        <v>679</v>
      </c>
      <c r="C385" s="999" t="s">
        <v>680</v>
      </c>
      <c r="D385" s="1000"/>
      <c r="E385" s="1000"/>
      <c r="F385" s="1001"/>
      <c r="G385" s="592" t="s">
        <v>527</v>
      </c>
      <c r="H385" s="699">
        <v>2</v>
      </c>
      <c r="I385" s="511">
        <f>$K$7*3.23</f>
        <v>2.982582</v>
      </c>
      <c r="J385" s="486">
        <f t="shared" si="47"/>
        <v>5.97</v>
      </c>
    </row>
    <row r="386" spans="1:10" ht="14.25">
      <c r="A386" s="698"/>
      <c r="B386" s="510"/>
      <c r="C386" s="588"/>
      <c r="D386" s="589"/>
      <c r="E386" s="589"/>
      <c r="F386" s="590"/>
      <c r="G386" s="388"/>
      <c r="H386" s="388"/>
      <c r="I386" s="511"/>
      <c r="J386" s="486">
        <f t="shared" si="47"/>
        <v>0</v>
      </c>
    </row>
    <row r="387" spans="1:10" ht="15">
      <c r="A387" s="516"/>
      <c r="B387" s="517"/>
      <c r="C387" s="517"/>
      <c r="D387" s="517"/>
      <c r="E387" s="517"/>
      <c r="F387" s="517"/>
      <c r="G387" s="518"/>
      <c r="H387" s="518"/>
      <c r="I387" s="519" t="s">
        <v>92</v>
      </c>
      <c r="J387" s="520">
        <f>SUM(J379:J386)</f>
        <v>92.00999999999999</v>
      </c>
    </row>
    <row r="389" spans="1:10" ht="15.75">
      <c r="A389" s="528" t="s">
        <v>688</v>
      </c>
      <c r="B389" s="529"/>
      <c r="C389" s="529"/>
      <c r="D389" s="529"/>
      <c r="E389" s="529"/>
      <c r="F389" s="529"/>
      <c r="G389" s="529"/>
      <c r="H389" s="529"/>
      <c r="I389" s="529"/>
      <c r="J389" s="452"/>
    </row>
    <row r="390" spans="1:10" ht="46.5" customHeight="1">
      <c r="A390" s="1008" t="s">
        <v>697</v>
      </c>
      <c r="B390" s="1009"/>
      <c r="C390" s="1009"/>
      <c r="D390" s="1009"/>
      <c r="E390" s="1009"/>
      <c r="F390" s="1009"/>
      <c r="G390" s="1009"/>
      <c r="H390" s="1009"/>
      <c r="I390" s="1010"/>
      <c r="J390" s="227" t="s">
        <v>437</v>
      </c>
    </row>
    <row r="391" spans="1:10" ht="30">
      <c r="A391" s="228" t="s">
        <v>78</v>
      </c>
      <c r="B391" s="229" t="s">
        <v>79</v>
      </c>
      <c r="C391" s="1005" t="s">
        <v>13</v>
      </c>
      <c r="D391" s="1006"/>
      <c r="E391" s="1006"/>
      <c r="F391" s="1007"/>
      <c r="G391" s="228" t="s">
        <v>91</v>
      </c>
      <c r="H391" s="230" t="s">
        <v>80</v>
      </c>
      <c r="I391" s="231" t="s">
        <v>81</v>
      </c>
      <c r="J391" s="181" t="s">
        <v>82</v>
      </c>
    </row>
    <row r="392" spans="1:10" ht="60" customHeight="1">
      <c r="A392" s="698" t="s">
        <v>708</v>
      </c>
      <c r="B392" s="510">
        <v>94569</v>
      </c>
      <c r="C392" s="999" t="s">
        <v>687</v>
      </c>
      <c r="D392" s="1000"/>
      <c r="E392" s="1000"/>
      <c r="F392" s="1001"/>
      <c r="G392" s="592" t="s">
        <v>568</v>
      </c>
      <c r="H392" s="699">
        <f>2.8*0.6</f>
        <v>1.68</v>
      </c>
      <c r="I392" s="511">
        <f>$K$7*387.06</f>
        <v>357.411204</v>
      </c>
      <c r="J392" s="486">
        <f>ROUND((H392*I392),2)</f>
        <v>600.45</v>
      </c>
    </row>
    <row r="393" spans="1:10" ht="44.25" customHeight="1">
      <c r="A393" s="698" t="s">
        <v>708</v>
      </c>
      <c r="B393" s="510">
        <v>84088</v>
      </c>
      <c r="C393" s="999" t="s">
        <v>690</v>
      </c>
      <c r="D393" s="1000"/>
      <c r="E393" s="1000"/>
      <c r="F393" s="1001"/>
      <c r="G393" s="388" t="s">
        <v>70</v>
      </c>
      <c r="H393" s="388">
        <v>2.8</v>
      </c>
      <c r="I393" s="511">
        <f>$K$7*85.94</f>
        <v>79.356996</v>
      </c>
      <c r="J393" s="486">
        <f>ROUND((H393*I393),2)</f>
        <v>222.2</v>
      </c>
    </row>
    <row r="394" spans="1:10" ht="44.25" customHeight="1">
      <c r="A394" s="698" t="s">
        <v>708</v>
      </c>
      <c r="B394" s="510">
        <v>93187</v>
      </c>
      <c r="C394" s="999" t="s">
        <v>692</v>
      </c>
      <c r="D394" s="1000"/>
      <c r="E394" s="1000"/>
      <c r="F394" s="1001"/>
      <c r="G394" s="388" t="s">
        <v>70</v>
      </c>
      <c r="H394" s="699">
        <f>0.2+2.8+0.2</f>
        <v>3.2</v>
      </c>
      <c r="I394" s="511">
        <f>$K$7*53.97</f>
        <v>49.835898</v>
      </c>
      <c r="J394" s="486">
        <f>ROUND((H394*I394),2)</f>
        <v>159.47</v>
      </c>
    </row>
    <row r="395" spans="1:10" ht="44.25" customHeight="1">
      <c r="A395" s="698" t="s">
        <v>708</v>
      </c>
      <c r="B395" s="510">
        <v>93199</v>
      </c>
      <c r="C395" s="999" t="s">
        <v>694</v>
      </c>
      <c r="D395" s="1000"/>
      <c r="E395" s="1000"/>
      <c r="F395" s="1001"/>
      <c r="G395" s="388" t="s">
        <v>70</v>
      </c>
      <c r="H395" s="699">
        <f>H394</f>
        <v>3.2</v>
      </c>
      <c r="I395" s="511">
        <f>$K$7*28.41</f>
        <v>26.233794</v>
      </c>
      <c r="J395" s="486">
        <f aca="true" t="shared" si="48" ref="J395:J396">ROUND((H395*I395),2)</f>
        <v>83.95</v>
      </c>
    </row>
    <row r="396" spans="1:10" ht="14.25">
      <c r="A396" s="500"/>
      <c r="B396" s="510"/>
      <c r="C396" s="742"/>
      <c r="D396" s="743"/>
      <c r="E396" s="743"/>
      <c r="F396" s="744"/>
      <c r="G396" s="592"/>
      <c r="H396" s="699"/>
      <c r="I396" s="511"/>
      <c r="J396" s="486">
        <f t="shared" si="48"/>
        <v>0</v>
      </c>
    </row>
    <row r="397" spans="1:10" ht="15">
      <c r="A397" s="516"/>
      <c r="B397" s="517"/>
      <c r="C397" s="517"/>
      <c r="D397" s="517"/>
      <c r="E397" s="517"/>
      <c r="F397" s="517"/>
      <c r="G397" s="518"/>
      <c r="H397" s="518"/>
      <c r="I397" s="519" t="s">
        <v>92</v>
      </c>
      <c r="J397" s="520">
        <f>SUM(J392:J396)</f>
        <v>1066.0700000000002</v>
      </c>
    </row>
    <row r="399" spans="1:10" ht="15.75">
      <c r="A399" s="528" t="s">
        <v>695</v>
      </c>
      <c r="B399" s="529"/>
      <c r="C399" s="529"/>
      <c r="D399" s="529"/>
      <c r="E399" s="529"/>
      <c r="F399" s="529"/>
      <c r="G399" s="529"/>
      <c r="H399" s="529"/>
      <c r="I399" s="529"/>
      <c r="J399" s="452"/>
    </row>
    <row r="400" spans="1:10" ht="56.25" customHeight="1">
      <c r="A400" s="1008" t="s">
        <v>696</v>
      </c>
      <c r="B400" s="1009"/>
      <c r="C400" s="1009"/>
      <c r="D400" s="1009"/>
      <c r="E400" s="1009"/>
      <c r="F400" s="1009"/>
      <c r="G400" s="1009"/>
      <c r="H400" s="1009"/>
      <c r="I400" s="1010"/>
      <c r="J400" s="227" t="s">
        <v>437</v>
      </c>
    </row>
    <row r="401" spans="1:10" ht="30">
      <c r="A401" s="228" t="s">
        <v>78</v>
      </c>
      <c r="B401" s="229" t="s">
        <v>79</v>
      </c>
      <c r="C401" s="1005" t="s">
        <v>13</v>
      </c>
      <c r="D401" s="1006"/>
      <c r="E401" s="1006"/>
      <c r="F401" s="1007"/>
      <c r="G401" s="228" t="s">
        <v>91</v>
      </c>
      <c r="H401" s="230" t="s">
        <v>80</v>
      </c>
      <c r="I401" s="231" t="s">
        <v>81</v>
      </c>
      <c r="J401" s="181" t="s">
        <v>82</v>
      </c>
    </row>
    <row r="402" spans="1:10" ht="43.5" customHeight="1">
      <c r="A402" s="698" t="s">
        <v>708</v>
      </c>
      <c r="B402" s="510">
        <v>94569</v>
      </c>
      <c r="C402" s="999" t="s">
        <v>687</v>
      </c>
      <c r="D402" s="1000"/>
      <c r="E402" s="1000"/>
      <c r="F402" s="1001"/>
      <c r="G402" s="592" t="s">
        <v>568</v>
      </c>
      <c r="H402" s="699">
        <f>0.8*0.6</f>
        <v>0.48</v>
      </c>
      <c r="I402" s="511">
        <f>$K$7*387.06</f>
        <v>357.411204</v>
      </c>
      <c r="J402" s="486">
        <f>ROUND((H402*I402),2)</f>
        <v>171.56</v>
      </c>
    </row>
    <row r="403" spans="1:10" ht="43.5" customHeight="1">
      <c r="A403" s="698" t="s">
        <v>708</v>
      </c>
      <c r="B403" s="510" t="s">
        <v>689</v>
      </c>
      <c r="C403" s="999" t="s">
        <v>690</v>
      </c>
      <c r="D403" s="1000"/>
      <c r="E403" s="1000"/>
      <c r="F403" s="1001"/>
      <c r="G403" s="388" t="s">
        <v>70</v>
      </c>
      <c r="H403" s="388">
        <v>0.8</v>
      </c>
      <c r="I403" s="511">
        <f>$K$7*85.94</f>
        <v>79.356996</v>
      </c>
      <c r="J403" s="486">
        <f>ROUND((H403*I403),2)</f>
        <v>63.49</v>
      </c>
    </row>
    <row r="404" spans="1:10" ht="43.5" customHeight="1">
      <c r="A404" s="698" t="s">
        <v>708</v>
      </c>
      <c r="B404" s="510" t="s">
        <v>691</v>
      </c>
      <c r="C404" s="999" t="s">
        <v>692</v>
      </c>
      <c r="D404" s="1000"/>
      <c r="E404" s="1000"/>
      <c r="F404" s="1001"/>
      <c r="G404" s="388" t="s">
        <v>70</v>
      </c>
      <c r="H404" s="699">
        <f>0.2+0.8+0.2</f>
        <v>1.2</v>
      </c>
      <c r="I404" s="511">
        <f>$K$7*53.97</f>
        <v>49.835898</v>
      </c>
      <c r="J404" s="486">
        <f>ROUND((H404*I404),2)</f>
        <v>59.8</v>
      </c>
    </row>
    <row r="405" spans="1:10" ht="43.5" customHeight="1">
      <c r="A405" s="698" t="s">
        <v>708</v>
      </c>
      <c r="B405" s="510" t="s">
        <v>693</v>
      </c>
      <c r="C405" s="999" t="s">
        <v>694</v>
      </c>
      <c r="D405" s="1000"/>
      <c r="E405" s="1000"/>
      <c r="F405" s="1001"/>
      <c r="G405" s="388" t="s">
        <v>70</v>
      </c>
      <c r="H405" s="699">
        <f>H404</f>
        <v>1.2</v>
      </c>
      <c r="I405" s="511">
        <f>$K$7*28.41</f>
        <v>26.233794</v>
      </c>
      <c r="J405" s="486">
        <f aca="true" t="shared" si="49" ref="J405:J406">ROUND((H405*I405),2)</f>
        <v>31.48</v>
      </c>
    </row>
    <row r="406" spans="1:10" ht="14.25">
      <c r="A406" s="500"/>
      <c r="B406" s="510"/>
      <c r="C406" s="742"/>
      <c r="D406" s="743"/>
      <c r="E406" s="743"/>
      <c r="F406" s="744"/>
      <c r="G406" s="592"/>
      <c r="H406" s="699"/>
      <c r="I406" s="511"/>
      <c r="J406" s="486">
        <f t="shared" si="49"/>
        <v>0</v>
      </c>
    </row>
    <row r="407" spans="1:10" ht="15">
      <c r="A407" s="516"/>
      <c r="B407" s="517"/>
      <c r="C407" s="517"/>
      <c r="D407" s="517"/>
      <c r="E407" s="517"/>
      <c r="F407" s="517"/>
      <c r="G407" s="518"/>
      <c r="H407" s="518"/>
      <c r="I407" s="519" t="s">
        <v>92</v>
      </c>
      <c r="J407" s="520">
        <f>SUM(J402:J406)</f>
        <v>326.33000000000004</v>
      </c>
    </row>
    <row r="409" spans="1:10" ht="15.75">
      <c r="A409" s="528" t="s">
        <v>711</v>
      </c>
      <c r="B409" s="529"/>
      <c r="C409" s="529"/>
      <c r="D409" s="529"/>
      <c r="E409" s="529"/>
      <c r="F409" s="529"/>
      <c r="G409" s="529"/>
      <c r="H409" s="529"/>
      <c r="I409" s="529"/>
      <c r="J409" s="452"/>
    </row>
    <row r="410" spans="1:10" ht="71.25" customHeight="1">
      <c r="A410" s="1002" t="s">
        <v>780</v>
      </c>
      <c r="B410" s="1003"/>
      <c r="C410" s="1003"/>
      <c r="D410" s="1003"/>
      <c r="E410" s="1003"/>
      <c r="F410" s="1003"/>
      <c r="G410" s="1003"/>
      <c r="H410" s="1003"/>
      <c r="I410" s="1004"/>
      <c r="J410" s="227" t="s">
        <v>437</v>
      </c>
    </row>
    <row r="411" spans="1:10" ht="30">
      <c r="A411" s="228" t="s">
        <v>78</v>
      </c>
      <c r="B411" s="229" t="s">
        <v>79</v>
      </c>
      <c r="C411" s="1005" t="s">
        <v>13</v>
      </c>
      <c r="D411" s="1006"/>
      <c r="E411" s="1006"/>
      <c r="F411" s="1007"/>
      <c r="G411" s="228" t="s">
        <v>91</v>
      </c>
      <c r="H411" s="230" t="s">
        <v>80</v>
      </c>
      <c r="I411" s="231" t="s">
        <v>81</v>
      </c>
      <c r="J411" s="181" t="s">
        <v>82</v>
      </c>
    </row>
    <row r="412" spans="1:10" ht="43.5" customHeight="1">
      <c r="A412" s="698" t="s">
        <v>708</v>
      </c>
      <c r="B412" s="510">
        <v>90821</v>
      </c>
      <c r="C412" s="999" t="s">
        <v>204</v>
      </c>
      <c r="D412" s="1000"/>
      <c r="E412" s="1000"/>
      <c r="F412" s="1001"/>
      <c r="G412" s="592" t="s">
        <v>91</v>
      </c>
      <c r="H412" s="699">
        <v>1</v>
      </c>
      <c r="I412" s="511">
        <f>$K$7*358.35</f>
        <v>330.90039</v>
      </c>
      <c r="J412" s="486">
        <f>ROUND((H412*I412),2)</f>
        <v>330.9</v>
      </c>
    </row>
    <row r="413" spans="1:10" ht="28.5">
      <c r="A413" s="698" t="s">
        <v>708</v>
      </c>
      <c r="B413" s="510">
        <v>93187</v>
      </c>
      <c r="C413" s="999" t="s">
        <v>692</v>
      </c>
      <c r="D413" s="1000"/>
      <c r="E413" s="1000"/>
      <c r="F413" s="1001"/>
      <c r="G413" s="388" t="s">
        <v>70</v>
      </c>
      <c r="H413" s="699">
        <f>0.2+0.7+0.2</f>
        <v>1.0999999999999999</v>
      </c>
      <c r="I413" s="511">
        <f>$K$7*53.97</f>
        <v>49.835898</v>
      </c>
      <c r="J413" s="486">
        <f>ROUND((H413*I413),2)</f>
        <v>54.82</v>
      </c>
    </row>
    <row r="414" spans="1:10" ht="43.5" customHeight="1">
      <c r="A414" s="698" t="s">
        <v>708</v>
      </c>
      <c r="B414" s="510">
        <v>90830</v>
      </c>
      <c r="C414" s="999" t="s">
        <v>241</v>
      </c>
      <c r="D414" s="1000"/>
      <c r="E414" s="1000"/>
      <c r="F414" s="1001"/>
      <c r="G414" s="388" t="s">
        <v>91</v>
      </c>
      <c r="H414" s="388">
        <v>1</v>
      </c>
      <c r="I414" s="511">
        <f>$K$7*103.58</f>
        <v>95.645772</v>
      </c>
      <c r="J414" s="486">
        <f>ROUND((H414*I414),2)</f>
        <v>95.65</v>
      </c>
    </row>
    <row r="415" spans="1:10" ht="46.5" customHeight="1">
      <c r="A415" s="698" t="s">
        <v>708</v>
      </c>
      <c r="B415" s="510">
        <v>96135</v>
      </c>
      <c r="C415" s="999" t="s">
        <v>706</v>
      </c>
      <c r="D415" s="1000"/>
      <c r="E415" s="1000"/>
      <c r="F415" s="1001"/>
      <c r="G415" s="388" t="s">
        <v>568</v>
      </c>
      <c r="H415" s="699">
        <f>0.7*2.1*2+(0.7*2+2.1*2)*0.035</f>
        <v>3.136</v>
      </c>
      <c r="I415" s="511">
        <f>$K$7*18.95</f>
        <v>17.49843</v>
      </c>
      <c r="J415" s="486">
        <f>ROUND((H415*I415),2)</f>
        <v>54.88</v>
      </c>
    </row>
    <row r="416" spans="1:10" ht="46.5" customHeight="1">
      <c r="A416" s="698" t="s">
        <v>708</v>
      </c>
      <c r="B416" s="510" t="s">
        <v>705</v>
      </c>
      <c r="C416" s="999" t="s">
        <v>704</v>
      </c>
      <c r="D416" s="1000"/>
      <c r="E416" s="1000"/>
      <c r="F416" s="1001"/>
      <c r="G416" s="388" t="s">
        <v>568</v>
      </c>
      <c r="H416" s="699">
        <f>H415</f>
        <v>3.136</v>
      </c>
      <c r="I416" s="511">
        <f>$K$7*20.73</f>
        <v>19.142082000000002</v>
      </c>
      <c r="J416" s="486">
        <f>ROUND((H416*I416),2)</f>
        <v>60.03</v>
      </c>
    </row>
    <row r="417" spans="1:10" ht="14.25">
      <c r="A417" s="500"/>
      <c r="B417" s="510"/>
      <c r="C417" s="742"/>
      <c r="D417" s="743"/>
      <c r="E417" s="743"/>
      <c r="F417" s="744"/>
      <c r="G417" s="592"/>
      <c r="H417" s="699"/>
      <c r="I417" s="511"/>
      <c r="J417" s="486">
        <f aca="true" t="shared" si="50" ref="J417">ROUND((H417*I417),2)</f>
        <v>0</v>
      </c>
    </row>
    <row r="418" spans="1:10" ht="15">
      <c r="A418" s="516"/>
      <c r="B418" s="517"/>
      <c r="C418" s="517"/>
      <c r="D418" s="517"/>
      <c r="E418" s="517"/>
      <c r="F418" s="517"/>
      <c r="G418" s="518"/>
      <c r="H418" s="518"/>
      <c r="I418" s="519" t="s">
        <v>92</v>
      </c>
      <c r="J418" s="520">
        <f>SUM(J412:J417)</f>
        <v>596.28</v>
      </c>
    </row>
    <row r="420" spans="1:10" ht="15.75">
      <c r="A420" s="528" t="s">
        <v>712</v>
      </c>
      <c r="B420" s="529"/>
      <c r="C420" s="529"/>
      <c r="D420" s="529"/>
      <c r="E420" s="529"/>
      <c r="F420" s="529"/>
      <c r="G420" s="529"/>
      <c r="H420" s="529"/>
      <c r="I420" s="529"/>
      <c r="J420" s="452"/>
    </row>
    <row r="421" spans="1:10" ht="54" customHeight="1">
      <c r="A421" s="1002" t="s">
        <v>729</v>
      </c>
      <c r="B421" s="1003"/>
      <c r="C421" s="1003"/>
      <c r="D421" s="1003"/>
      <c r="E421" s="1003"/>
      <c r="F421" s="1003"/>
      <c r="G421" s="1003"/>
      <c r="H421" s="1003"/>
      <c r="I421" s="1004"/>
      <c r="J421" s="227" t="s">
        <v>437</v>
      </c>
    </row>
    <row r="422" spans="1:10" ht="30">
      <c r="A422" s="228" t="s">
        <v>78</v>
      </c>
      <c r="B422" s="229" t="s">
        <v>79</v>
      </c>
      <c r="C422" s="1005" t="s">
        <v>13</v>
      </c>
      <c r="D422" s="1006"/>
      <c r="E422" s="1006"/>
      <c r="F422" s="1007"/>
      <c r="G422" s="228" t="s">
        <v>91</v>
      </c>
      <c r="H422" s="230" t="s">
        <v>80</v>
      </c>
      <c r="I422" s="231" t="s">
        <v>81</v>
      </c>
      <c r="J422" s="181" t="s">
        <v>82</v>
      </c>
    </row>
    <row r="423" spans="1:10" ht="45.75" customHeight="1">
      <c r="A423" s="698" t="s">
        <v>708</v>
      </c>
      <c r="B423" s="510" t="s">
        <v>713</v>
      </c>
      <c r="C423" s="999" t="s">
        <v>714</v>
      </c>
      <c r="D423" s="1000"/>
      <c r="E423" s="1000"/>
      <c r="F423" s="1001"/>
      <c r="G423" s="592" t="s">
        <v>568</v>
      </c>
      <c r="H423" s="699">
        <f>2.8*1.1</f>
        <v>3.08</v>
      </c>
      <c r="I423" s="511">
        <f>$K$7*229.81</f>
        <v>212.206554</v>
      </c>
      <c r="J423" s="486">
        <f>ROUND((H423*I423),2)</f>
        <v>653.6</v>
      </c>
    </row>
    <row r="424" spans="1:10" ht="28.5">
      <c r="A424" s="698" t="s">
        <v>708</v>
      </c>
      <c r="B424" s="510">
        <v>93187</v>
      </c>
      <c r="C424" s="999" t="s">
        <v>692</v>
      </c>
      <c r="D424" s="1000"/>
      <c r="E424" s="1000"/>
      <c r="F424" s="1001"/>
      <c r="G424" s="388" t="s">
        <v>70</v>
      </c>
      <c r="H424" s="699">
        <f>0.2+2.8+0.2</f>
        <v>3.2</v>
      </c>
      <c r="I424" s="511">
        <f>$K$7*53.97</f>
        <v>49.835898</v>
      </c>
      <c r="J424" s="486">
        <f>ROUND((H424*I424),2)</f>
        <v>159.47</v>
      </c>
    </row>
    <row r="425" spans="1:10" ht="28.5">
      <c r="A425" s="698" t="s">
        <v>708</v>
      </c>
      <c r="B425" s="510" t="s">
        <v>693</v>
      </c>
      <c r="C425" s="999" t="s">
        <v>694</v>
      </c>
      <c r="D425" s="1000"/>
      <c r="E425" s="1000"/>
      <c r="F425" s="1001"/>
      <c r="G425" s="388" t="s">
        <v>70</v>
      </c>
      <c r="H425" s="699">
        <f>H424</f>
        <v>3.2</v>
      </c>
      <c r="I425" s="511">
        <f>$K$7*28.41</f>
        <v>26.233794</v>
      </c>
      <c r="J425" s="486">
        <f aca="true" t="shared" si="51" ref="J425:J432">ROUND((H425*I425),2)</f>
        <v>83.95</v>
      </c>
    </row>
    <row r="426" spans="1:10" ht="42" customHeight="1">
      <c r="A426" s="698" t="s">
        <v>707</v>
      </c>
      <c r="B426" s="510" t="s">
        <v>715</v>
      </c>
      <c r="C426" s="999" t="s">
        <v>716</v>
      </c>
      <c r="D426" s="1000"/>
      <c r="E426" s="1000"/>
      <c r="F426" s="1001"/>
      <c r="G426" s="592" t="s">
        <v>568</v>
      </c>
      <c r="H426" s="388">
        <f>2.8*0.3+1.587*0.4*2</f>
        <v>2.1096</v>
      </c>
      <c r="I426" s="511">
        <f>$K$7*85.94</f>
        <v>79.356996</v>
      </c>
      <c r="J426" s="486">
        <f>ROUND((H426*I426),2)</f>
        <v>167.41</v>
      </c>
    </row>
    <row r="427" spans="1:10" ht="33" customHeight="1">
      <c r="A427" s="698" t="s">
        <v>707</v>
      </c>
      <c r="B427" s="510" t="s">
        <v>719</v>
      </c>
      <c r="C427" s="999" t="s">
        <v>720</v>
      </c>
      <c r="D427" s="1000"/>
      <c r="E427" s="1000"/>
      <c r="F427" s="1001"/>
      <c r="G427" s="592" t="s">
        <v>64</v>
      </c>
      <c r="H427" s="699">
        <f>2*0.5228</f>
        <v>1.0456</v>
      </c>
      <c r="I427" s="511">
        <f>$K$7*31.22</f>
        <v>28.828547999999998</v>
      </c>
      <c r="J427" s="486">
        <f aca="true" t="shared" si="52" ref="J427:J430">ROUND((H427*I427),2)</f>
        <v>30.14</v>
      </c>
    </row>
    <row r="428" spans="1:10" ht="41.25" customHeight="1">
      <c r="A428" s="698" t="s">
        <v>707</v>
      </c>
      <c r="B428" s="510" t="s">
        <v>721</v>
      </c>
      <c r="C428" s="999" t="s">
        <v>722</v>
      </c>
      <c r="D428" s="1000"/>
      <c r="E428" s="1000"/>
      <c r="F428" s="1001"/>
      <c r="G428" s="592" t="s">
        <v>91</v>
      </c>
      <c r="H428" s="699">
        <f>2*6</f>
        <v>12</v>
      </c>
      <c r="I428" s="511">
        <f>$K$7*0.73</f>
        <v>0.674082</v>
      </c>
      <c r="J428" s="486">
        <f t="shared" si="52"/>
        <v>8.09</v>
      </c>
    </row>
    <row r="429" spans="1:10" ht="33" customHeight="1">
      <c r="A429" s="698" t="s">
        <v>708</v>
      </c>
      <c r="B429" s="510" t="s">
        <v>723</v>
      </c>
      <c r="C429" s="999" t="s">
        <v>724</v>
      </c>
      <c r="D429" s="1000"/>
      <c r="E429" s="1000"/>
      <c r="F429" s="1001"/>
      <c r="G429" s="592" t="s">
        <v>64</v>
      </c>
      <c r="H429" s="699">
        <f>2*0.0211</f>
        <v>0.0422</v>
      </c>
      <c r="I429" s="511">
        <f>$K$7*79.15</f>
        <v>73.08711000000001</v>
      </c>
      <c r="J429" s="486">
        <f t="shared" si="52"/>
        <v>3.08</v>
      </c>
    </row>
    <row r="430" spans="1:10" ht="33" customHeight="1">
      <c r="A430" s="698" t="s">
        <v>708</v>
      </c>
      <c r="B430" s="510" t="s">
        <v>725</v>
      </c>
      <c r="C430" s="999" t="s">
        <v>726</v>
      </c>
      <c r="D430" s="1000"/>
      <c r="E430" s="1000"/>
      <c r="F430" s="1001"/>
      <c r="G430" s="592" t="s">
        <v>227</v>
      </c>
      <c r="H430" s="699">
        <f>2*2</f>
        <v>4</v>
      </c>
      <c r="I430" s="511">
        <f>$K$7*11.85</f>
        <v>10.94229</v>
      </c>
      <c r="J430" s="486">
        <f t="shared" si="52"/>
        <v>43.77</v>
      </c>
    </row>
    <row r="431" spans="1:10" ht="33" customHeight="1">
      <c r="A431" s="698" t="s">
        <v>708</v>
      </c>
      <c r="B431" s="510" t="s">
        <v>727</v>
      </c>
      <c r="C431" s="999" t="s">
        <v>728</v>
      </c>
      <c r="D431" s="1000"/>
      <c r="E431" s="1000"/>
      <c r="F431" s="1001"/>
      <c r="G431" s="592" t="s">
        <v>88</v>
      </c>
      <c r="H431" s="699">
        <f>2*1.4944</f>
        <v>2.9888</v>
      </c>
      <c r="I431" s="511">
        <f>$K$7*20.66</f>
        <v>19.077444</v>
      </c>
      <c r="J431" s="486">
        <f aca="true" t="shared" si="53" ref="J431">ROUND((H431*I431),2)</f>
        <v>57.02</v>
      </c>
    </row>
    <row r="432" spans="1:10" ht="33" customHeight="1">
      <c r="A432" s="698" t="s">
        <v>708</v>
      </c>
      <c r="B432" s="510" t="s">
        <v>251</v>
      </c>
      <c r="C432" s="999" t="s">
        <v>89</v>
      </c>
      <c r="D432" s="1000"/>
      <c r="E432" s="1000"/>
      <c r="F432" s="1001"/>
      <c r="G432" s="592" t="s">
        <v>88</v>
      </c>
      <c r="H432" s="699">
        <f>2*0.9834</f>
        <v>1.9668</v>
      </c>
      <c r="I432" s="511">
        <f>$K$7*15.84</f>
        <v>14.626656</v>
      </c>
      <c r="J432" s="486">
        <f t="shared" si="51"/>
        <v>28.77</v>
      </c>
    </row>
    <row r="433" spans="1:10" ht="15">
      <c r="A433" s="516"/>
      <c r="B433" s="517"/>
      <c r="C433" s="517"/>
      <c r="D433" s="517"/>
      <c r="E433" s="517"/>
      <c r="F433" s="517"/>
      <c r="G433" s="518"/>
      <c r="H433" s="518"/>
      <c r="I433" s="519" t="s">
        <v>92</v>
      </c>
      <c r="J433" s="520">
        <f>SUM(J423:J432)</f>
        <v>1235.3</v>
      </c>
    </row>
  </sheetData>
  <mergeCells count="321">
    <mergeCell ref="A410:I410"/>
    <mergeCell ref="C411:F411"/>
    <mergeCell ref="C412:F412"/>
    <mergeCell ref="C414:F414"/>
    <mergeCell ref="C415:F415"/>
    <mergeCell ref="C416:F416"/>
    <mergeCell ref="A421:I421"/>
    <mergeCell ref="C393:F393"/>
    <mergeCell ref="C394:F394"/>
    <mergeCell ref="C395:F395"/>
    <mergeCell ref="C401:F401"/>
    <mergeCell ref="C413:F413"/>
    <mergeCell ref="C427:F427"/>
    <mergeCell ref="C428:F428"/>
    <mergeCell ref="C429:F429"/>
    <mergeCell ref="C430:F430"/>
    <mergeCell ref="C431:F431"/>
    <mergeCell ref="C432:F432"/>
    <mergeCell ref="C422:F422"/>
    <mergeCell ref="C423:F423"/>
    <mergeCell ref="C426:F426"/>
    <mergeCell ref="C424:F424"/>
    <mergeCell ref="C425:F425"/>
    <mergeCell ref="C352:F352"/>
    <mergeCell ref="C353:F353"/>
    <mergeCell ref="C362:F362"/>
    <mergeCell ref="C402:F402"/>
    <mergeCell ref="C403:F403"/>
    <mergeCell ref="C404:F404"/>
    <mergeCell ref="C405:F405"/>
    <mergeCell ref="A400:I400"/>
    <mergeCell ref="C372:F372"/>
    <mergeCell ref="C373:F373"/>
    <mergeCell ref="C356:F356"/>
    <mergeCell ref="C357:F357"/>
    <mergeCell ref="C368:F368"/>
    <mergeCell ref="C369:F369"/>
    <mergeCell ref="A377:I377"/>
    <mergeCell ref="C378:F378"/>
    <mergeCell ref="C313:F313"/>
    <mergeCell ref="C314:F314"/>
    <mergeCell ref="C315:F315"/>
    <mergeCell ref="C316:F316"/>
    <mergeCell ref="C370:F370"/>
    <mergeCell ref="C371:F371"/>
    <mergeCell ref="C354:F354"/>
    <mergeCell ref="C355:F355"/>
    <mergeCell ref="C338:F338"/>
    <mergeCell ref="C339:F339"/>
    <mergeCell ref="A329:I329"/>
    <mergeCell ref="C346:F346"/>
    <mergeCell ref="C347:F347"/>
    <mergeCell ref="C348:F348"/>
    <mergeCell ref="C349:F349"/>
    <mergeCell ref="C350:F350"/>
    <mergeCell ref="C351:F351"/>
    <mergeCell ref="C330:F330"/>
    <mergeCell ref="C333:F333"/>
    <mergeCell ref="C334:F334"/>
    <mergeCell ref="C335:F335"/>
    <mergeCell ref="C340:F340"/>
    <mergeCell ref="C341:F341"/>
    <mergeCell ref="A345:I345"/>
    <mergeCell ref="C311:F311"/>
    <mergeCell ref="C312:F312"/>
    <mergeCell ref="A270:I270"/>
    <mergeCell ref="C271:F271"/>
    <mergeCell ref="C272:F272"/>
    <mergeCell ref="C273:F273"/>
    <mergeCell ref="C274:F274"/>
    <mergeCell ref="C275:F275"/>
    <mergeCell ref="C276:F276"/>
    <mergeCell ref="C277:F277"/>
    <mergeCell ref="A282:I282"/>
    <mergeCell ref="C304:F304"/>
    <mergeCell ref="C305:F305"/>
    <mergeCell ref="C290:F290"/>
    <mergeCell ref="C292:F292"/>
    <mergeCell ref="C293:F293"/>
    <mergeCell ref="C291:F291"/>
    <mergeCell ref="A298:I298"/>
    <mergeCell ref="C299:F299"/>
    <mergeCell ref="C300:F300"/>
    <mergeCell ref="C301:F301"/>
    <mergeCell ref="C302:F302"/>
    <mergeCell ref="C303:F303"/>
    <mergeCell ref="C283:F283"/>
    <mergeCell ref="C289:F289"/>
    <mergeCell ref="C161:F161"/>
    <mergeCell ref="C160:F160"/>
    <mergeCell ref="C167:F167"/>
    <mergeCell ref="C168:F168"/>
    <mergeCell ref="C209:F209"/>
    <mergeCell ref="C186:F186"/>
    <mergeCell ref="C264:F264"/>
    <mergeCell ref="C265:F265"/>
    <mergeCell ref="A179:I179"/>
    <mergeCell ref="C211:F211"/>
    <mergeCell ref="C166:F166"/>
    <mergeCell ref="A165:I165"/>
    <mergeCell ref="C203:F203"/>
    <mergeCell ref="C204:F204"/>
    <mergeCell ref="C206:F206"/>
    <mergeCell ref="C207:F207"/>
    <mergeCell ref="C208:F208"/>
    <mergeCell ref="C185:F185"/>
    <mergeCell ref="C199:F199"/>
    <mergeCell ref="C200:F200"/>
    <mergeCell ref="C201:F201"/>
    <mergeCell ref="C202:F202"/>
    <mergeCell ref="C187:F187"/>
    <mergeCell ref="C138:F138"/>
    <mergeCell ref="C139:F139"/>
    <mergeCell ref="C140:F140"/>
    <mergeCell ref="C126:F126"/>
    <mergeCell ref="C135:F135"/>
    <mergeCell ref="C155:F155"/>
    <mergeCell ref="C136:F136"/>
    <mergeCell ref="A125:I125"/>
    <mergeCell ref="C150:F150"/>
    <mergeCell ref="C143:F143"/>
    <mergeCell ref="C127:F127"/>
    <mergeCell ref="C128:F128"/>
    <mergeCell ref="C130:F130"/>
    <mergeCell ref="C131:F131"/>
    <mergeCell ref="C132:F132"/>
    <mergeCell ref="C133:F133"/>
    <mergeCell ref="C134:F134"/>
    <mergeCell ref="A147:I147"/>
    <mergeCell ref="C151:F151"/>
    <mergeCell ref="C152:F152"/>
    <mergeCell ref="C153:F153"/>
    <mergeCell ref="C67:F67"/>
    <mergeCell ref="A80:I80"/>
    <mergeCell ref="C49:F49"/>
    <mergeCell ref="C50:F50"/>
    <mergeCell ref="C51:F51"/>
    <mergeCell ref="C68:F68"/>
    <mergeCell ref="C55:F55"/>
    <mergeCell ref="C56:F56"/>
    <mergeCell ref="C57:F57"/>
    <mergeCell ref="C59:F59"/>
    <mergeCell ref="A65:I65"/>
    <mergeCell ref="C66:F66"/>
    <mergeCell ref="C98:F98"/>
    <mergeCell ref="C81:F81"/>
    <mergeCell ref="C86:F86"/>
    <mergeCell ref="C93:F93"/>
    <mergeCell ref="C117:F117"/>
    <mergeCell ref="C108:F108"/>
    <mergeCell ref="C116:F116"/>
    <mergeCell ref="C111:F111"/>
    <mergeCell ref="C112:F112"/>
    <mergeCell ref="C115:F115"/>
    <mergeCell ref="C110:F110"/>
    <mergeCell ref="C101:F101"/>
    <mergeCell ref="A97:I97"/>
    <mergeCell ref="C109:F109"/>
    <mergeCell ref="C106:F106"/>
    <mergeCell ref="C102:F102"/>
    <mergeCell ref="C105:F105"/>
    <mergeCell ref="C82:F82"/>
    <mergeCell ref="C84:F84"/>
    <mergeCell ref="C85:F85"/>
    <mergeCell ref="C87:F87"/>
    <mergeCell ref="C89:F89"/>
    <mergeCell ref="C88:F88"/>
    <mergeCell ref="C83:F83"/>
    <mergeCell ref="C19:F19"/>
    <mergeCell ref="C20:F20"/>
    <mergeCell ref="C21:F21"/>
    <mergeCell ref="C45:F45"/>
    <mergeCell ref="C46:F46"/>
    <mergeCell ref="C104:F104"/>
    <mergeCell ref="C100:F100"/>
    <mergeCell ref="C72:F72"/>
    <mergeCell ref="C73:F73"/>
    <mergeCell ref="C74:F74"/>
    <mergeCell ref="C75:F75"/>
    <mergeCell ref="C76:F76"/>
    <mergeCell ref="C61:F61"/>
    <mergeCell ref="C41:F41"/>
    <mergeCell ref="C53:F53"/>
    <mergeCell ref="C54:F54"/>
    <mergeCell ref="C69:F69"/>
    <mergeCell ref="C70:F70"/>
    <mergeCell ref="C71:F71"/>
    <mergeCell ref="C90:F90"/>
    <mergeCell ref="C91:F91"/>
    <mergeCell ref="C92:F92"/>
    <mergeCell ref="C48:F48"/>
    <mergeCell ref="C103:F103"/>
    <mergeCell ref="A6:B8"/>
    <mergeCell ref="C6:F8"/>
    <mergeCell ref="C4:J4"/>
    <mergeCell ref="C12:F12"/>
    <mergeCell ref="C13:F13"/>
    <mergeCell ref="C14:F14"/>
    <mergeCell ref="I7:J8"/>
    <mergeCell ref="I5:J6"/>
    <mergeCell ref="I2:J2"/>
    <mergeCell ref="G2:H2"/>
    <mergeCell ref="G5:H6"/>
    <mergeCell ref="G7:H8"/>
    <mergeCell ref="C3:J3"/>
    <mergeCell ref="A2:B2"/>
    <mergeCell ref="A3:B3"/>
    <mergeCell ref="A4:B4"/>
    <mergeCell ref="C31:F31"/>
    <mergeCell ref="C34:F34"/>
    <mergeCell ref="C35:F35"/>
    <mergeCell ref="C32:F32"/>
    <mergeCell ref="C33:F33"/>
    <mergeCell ref="C36:F36"/>
    <mergeCell ref="C60:F60"/>
    <mergeCell ref="C22:F22"/>
    <mergeCell ref="C23:F23"/>
    <mergeCell ref="C24:F24"/>
    <mergeCell ref="C25:F25"/>
    <mergeCell ref="C26:F26"/>
    <mergeCell ref="C43:F43"/>
    <mergeCell ref="C44:F44"/>
    <mergeCell ref="C58:F58"/>
    <mergeCell ref="C233:F233"/>
    <mergeCell ref="C234:F234"/>
    <mergeCell ref="C226:F226"/>
    <mergeCell ref="C219:F219"/>
    <mergeCell ref="C220:F220"/>
    <mergeCell ref="C221:F221"/>
    <mergeCell ref="C222:F222"/>
    <mergeCell ref="C180:F180"/>
    <mergeCell ref="C181:F181"/>
    <mergeCell ref="C182:F182"/>
    <mergeCell ref="C183:F183"/>
    <mergeCell ref="C223:F223"/>
    <mergeCell ref="C188:F188"/>
    <mergeCell ref="C189:F189"/>
    <mergeCell ref="C190:F190"/>
    <mergeCell ref="C191:F191"/>
    <mergeCell ref="C192:F192"/>
    <mergeCell ref="C205:F205"/>
    <mergeCell ref="A198:I198"/>
    <mergeCell ref="C224:F224"/>
    <mergeCell ref="C225:F225"/>
    <mergeCell ref="C210:F210"/>
    <mergeCell ref="C218:F218"/>
    <mergeCell ref="A217:I217"/>
    <mergeCell ref="A231:I231"/>
    <mergeCell ref="C121:F121"/>
    <mergeCell ref="C120:F120"/>
    <mergeCell ref="C99:F99"/>
    <mergeCell ref="C107:F107"/>
    <mergeCell ref="C113:F113"/>
    <mergeCell ref="C114:F114"/>
    <mergeCell ref="C232:F232"/>
    <mergeCell ref="C169:F169"/>
    <mergeCell ref="C170:F170"/>
    <mergeCell ref="C171:F171"/>
    <mergeCell ref="C172:F172"/>
    <mergeCell ref="C173:F173"/>
    <mergeCell ref="C184:F184"/>
    <mergeCell ref="C118:F118"/>
    <mergeCell ref="C119:F119"/>
    <mergeCell ref="C142:F142"/>
    <mergeCell ref="C156:F156"/>
    <mergeCell ref="C157:F157"/>
    <mergeCell ref="C158:F158"/>
    <mergeCell ref="C148:F148"/>
    <mergeCell ref="C141:F141"/>
    <mergeCell ref="C129:F129"/>
    <mergeCell ref="C137:F137"/>
    <mergeCell ref="C250:F250"/>
    <mergeCell ref="C251:F251"/>
    <mergeCell ref="C245:F245"/>
    <mergeCell ref="C235:F235"/>
    <mergeCell ref="C236:F236"/>
    <mergeCell ref="A241:I241"/>
    <mergeCell ref="C242:F242"/>
    <mergeCell ref="C246:F246"/>
    <mergeCell ref="C247:F247"/>
    <mergeCell ref="C248:F248"/>
    <mergeCell ref="C249:F249"/>
    <mergeCell ref="C243:F243"/>
    <mergeCell ref="C244:F244"/>
    <mergeCell ref="C287:F287"/>
    <mergeCell ref="C288:F288"/>
    <mergeCell ref="A256:I256"/>
    <mergeCell ref="C257:F257"/>
    <mergeCell ref="C258:F258"/>
    <mergeCell ref="C259:F259"/>
    <mergeCell ref="C260:F260"/>
    <mergeCell ref="C261:F261"/>
    <mergeCell ref="C262:F262"/>
    <mergeCell ref="C263:F263"/>
    <mergeCell ref="C284:F284"/>
    <mergeCell ref="C285:F285"/>
    <mergeCell ref="C286:F286"/>
    <mergeCell ref="C317:F317"/>
    <mergeCell ref="A390:I390"/>
    <mergeCell ref="C391:F391"/>
    <mergeCell ref="C392:F392"/>
    <mergeCell ref="C379:F379"/>
    <mergeCell ref="C380:F380"/>
    <mergeCell ref="C381:F381"/>
    <mergeCell ref="C382:F382"/>
    <mergeCell ref="C383:F383"/>
    <mergeCell ref="C384:F384"/>
    <mergeCell ref="C385:F385"/>
    <mergeCell ref="C336:F336"/>
    <mergeCell ref="C337:F337"/>
    <mergeCell ref="C332:F332"/>
    <mergeCell ref="C331:F331"/>
    <mergeCell ref="C323:F323"/>
    <mergeCell ref="C324:F324"/>
    <mergeCell ref="C325:F325"/>
    <mergeCell ref="A361:I361"/>
    <mergeCell ref="C363:F363"/>
    <mergeCell ref="C364:F364"/>
    <mergeCell ref="C365:F365"/>
    <mergeCell ref="C366:F366"/>
    <mergeCell ref="C367:F367"/>
  </mergeCells>
  <conditionalFormatting sqref="G31 A31">
    <cfRule type="expression" priority="320" dxfId="43" stopIfTrue="1">
      <formula>AND(#REF!&lt;&gt;"COMPOSICAO",#REF!&lt;&gt;"INSUMO",#REF!&lt;&gt;"")</formula>
    </cfRule>
    <cfRule type="expression" priority="321" dxfId="42" stopIfTrue="1">
      <formula>AND(OR(#REF!="COMPOSICAO",#REF!="INSUMO",#REF!&lt;&gt;""),#REF!&lt;&gt;"")</formula>
    </cfRule>
  </conditionalFormatting>
  <conditionalFormatting sqref="H31">
    <cfRule type="expression" priority="318" dxfId="43" stopIfTrue="1">
      <formula>AND(#REF!&lt;&gt;"COMPOSICAO",#REF!&lt;&gt;"INSUMO",#REF!&lt;&gt;"")</formula>
    </cfRule>
    <cfRule type="expression" priority="319" dxfId="42" stopIfTrue="1">
      <formula>AND(OR(#REF!="COMPOSICAO",#REF!="INSUMO",#REF!&lt;&gt;""),#REF!&lt;&gt;"")</formula>
    </cfRule>
  </conditionalFormatting>
  <conditionalFormatting sqref="G41 A41">
    <cfRule type="expression" priority="232" dxfId="43" stopIfTrue="1">
      <formula>AND(#REF!&lt;&gt;"COMPOSICAO",#REF!&lt;&gt;"INSUMO",#REF!&lt;&gt;"")</formula>
    </cfRule>
    <cfRule type="expression" priority="233" dxfId="42" stopIfTrue="1">
      <formula>AND(OR(#REF!="COMPOSICAO",#REF!="INSUMO",#REF!&lt;&gt;""),#REF!&lt;&gt;"")</formula>
    </cfRule>
  </conditionalFormatting>
  <conditionalFormatting sqref="H41">
    <cfRule type="expression" priority="230" dxfId="43" stopIfTrue="1">
      <formula>AND(#REF!&lt;&gt;"COMPOSICAO",#REF!&lt;&gt;"INSUMO",#REF!&lt;&gt;"")</formula>
    </cfRule>
    <cfRule type="expression" priority="231" dxfId="42" stopIfTrue="1">
      <formula>AND(OR(#REF!="COMPOSICAO",#REF!="INSUMO",#REF!&lt;&gt;""),#REF!&lt;&gt;"")</formula>
    </cfRule>
  </conditionalFormatting>
  <conditionalFormatting sqref="G66 A66">
    <cfRule type="expression" priority="195" dxfId="43" stopIfTrue="1">
      <formula>AND(#REF!&lt;&gt;"COMPOSICAO",#REF!&lt;&gt;"INSUMO",#REF!&lt;&gt;"")</formula>
    </cfRule>
    <cfRule type="expression" priority="196" dxfId="42" stopIfTrue="1">
      <formula>AND(OR(#REF!="COMPOSICAO",#REF!="INSUMO",#REF!&lt;&gt;""),#REF!&lt;&gt;"")</formula>
    </cfRule>
  </conditionalFormatting>
  <conditionalFormatting sqref="H66">
    <cfRule type="expression" priority="193" dxfId="43" stopIfTrue="1">
      <formula>AND(#REF!&lt;&gt;"COMPOSICAO",#REF!&lt;&gt;"INSUMO",#REF!&lt;&gt;"")</formula>
    </cfRule>
    <cfRule type="expression" priority="194" dxfId="42" stopIfTrue="1">
      <formula>AND(OR(#REF!="COMPOSICAO",#REF!="INSUMO",#REF!&lt;&gt;""),#REF!&lt;&gt;"")</formula>
    </cfRule>
  </conditionalFormatting>
  <conditionalFormatting sqref="G81 A81 A128:A133 G128:H133 G424:G425 G422:H423 G426:H426">
    <cfRule type="expression" priority="143" dxfId="43" stopIfTrue="1">
      <formula>AND(#REF!&lt;&gt;"COMPOSICAO",#REF!&lt;&gt;"INSUMO",#REF!&lt;&gt;"")</formula>
    </cfRule>
    <cfRule type="expression" priority="144" dxfId="42" stopIfTrue="1">
      <formula>AND(OR(#REF!="COMPOSICAO",#REF!="INSUMO",#REF!&lt;&gt;""),#REF!&lt;&gt;"")</formula>
    </cfRule>
  </conditionalFormatting>
  <conditionalFormatting sqref="H81">
    <cfRule type="expression" priority="141" dxfId="43" stopIfTrue="1">
      <formula>AND(#REF!&lt;&gt;"COMPOSICAO",#REF!&lt;&gt;"INSUMO",#REF!&lt;&gt;"")</formula>
    </cfRule>
    <cfRule type="expression" priority="142" dxfId="42" stopIfTrue="1">
      <formula>AND(OR(#REF!="COMPOSICAO",#REF!="INSUMO",#REF!&lt;&gt;""),#REF!&lt;&gt;"")</formula>
    </cfRule>
  </conditionalFormatting>
  <conditionalFormatting sqref="G126 A126">
    <cfRule type="expression" priority="135" dxfId="43" stopIfTrue="1">
      <formula>AND(#REF!&lt;&gt;"COMPOSICAO",#REF!&lt;&gt;"INSUMO",#REF!&lt;&gt;"")</formula>
    </cfRule>
    <cfRule type="expression" priority="136" dxfId="42" stopIfTrue="1">
      <formula>AND(OR(#REF!="COMPOSICAO",#REF!="INSUMO",#REF!&lt;&gt;""),#REF!&lt;&gt;"")</formula>
    </cfRule>
  </conditionalFormatting>
  <conditionalFormatting sqref="H126">
    <cfRule type="expression" priority="133" dxfId="43" stopIfTrue="1">
      <formula>AND(#REF!&lt;&gt;"COMPOSICAO",#REF!&lt;&gt;"INSUMO",#REF!&lt;&gt;"")</formula>
    </cfRule>
    <cfRule type="expression" priority="134" dxfId="42" stopIfTrue="1">
      <formula>AND(OR(#REF!="COMPOSICAO",#REF!="INSUMO",#REF!&lt;&gt;""),#REF!&lt;&gt;"")</formula>
    </cfRule>
  </conditionalFormatting>
  <conditionalFormatting sqref="G98 A98 A100:A106 G100:G106">
    <cfRule type="expression" priority="131" dxfId="43" stopIfTrue="1">
      <formula>AND(#REF!&lt;&gt;"COMPOSICAO",#REF!&lt;&gt;"INSUMO",#REF!&lt;&gt;"")</formula>
    </cfRule>
    <cfRule type="expression" priority="132" dxfId="42" stopIfTrue="1">
      <formula>AND(OR(#REF!="COMPOSICAO",#REF!="INSUMO",#REF!&lt;&gt;""),#REF!&lt;&gt;"")</formula>
    </cfRule>
  </conditionalFormatting>
  <conditionalFormatting sqref="H98 H100:H106">
    <cfRule type="expression" priority="129" dxfId="43" stopIfTrue="1">
      <formula>AND(#REF!&lt;&gt;"COMPOSICAO",#REF!&lt;&gt;"INSUMO",#REF!&lt;&gt;"")</formula>
    </cfRule>
    <cfRule type="expression" priority="130" dxfId="42" stopIfTrue="1">
      <formula>AND(OR(#REF!="COMPOSICAO",#REF!="INSUMO",#REF!&lt;&gt;""),#REF!&lt;&gt;"")</formula>
    </cfRule>
  </conditionalFormatting>
  <conditionalFormatting sqref="G12 A12">
    <cfRule type="expression" priority="127" dxfId="43" stopIfTrue="1">
      <formula>AND(#REF!&lt;&gt;"COMPOSICAO",#REF!&lt;&gt;"INSUMO",#REF!&lt;&gt;"")</formula>
    </cfRule>
    <cfRule type="expression" priority="128" dxfId="42" stopIfTrue="1">
      <formula>AND(OR(#REF!="COMPOSICAO",#REF!="INSUMO",#REF!&lt;&gt;""),#REF!&lt;&gt;"")</formula>
    </cfRule>
  </conditionalFormatting>
  <conditionalFormatting sqref="H12">
    <cfRule type="expression" priority="125" dxfId="43" stopIfTrue="1">
      <formula>AND(#REF!&lt;&gt;"COMPOSICAO",#REF!&lt;&gt;"INSUMO",#REF!&lt;&gt;"")</formula>
    </cfRule>
    <cfRule type="expression" priority="126" dxfId="42" stopIfTrue="1">
      <formula>AND(OR(#REF!="COMPOSICAO",#REF!="INSUMO",#REF!&lt;&gt;""),#REF!&lt;&gt;"")</formula>
    </cfRule>
  </conditionalFormatting>
  <conditionalFormatting sqref="G19 A19">
    <cfRule type="expression" priority="123" dxfId="43" stopIfTrue="1">
      <formula>AND(#REF!&lt;&gt;"COMPOSICAO",#REF!&lt;&gt;"INSUMO",#REF!&lt;&gt;"")</formula>
    </cfRule>
    <cfRule type="expression" priority="124" dxfId="42" stopIfTrue="1">
      <formula>AND(OR(#REF!="COMPOSICAO",#REF!="INSUMO",#REF!&lt;&gt;""),#REF!&lt;&gt;"")</formula>
    </cfRule>
  </conditionalFormatting>
  <conditionalFormatting sqref="H19">
    <cfRule type="expression" priority="121" dxfId="43" stopIfTrue="1">
      <formula>AND(#REF!&lt;&gt;"COMPOSICAO",#REF!&lt;&gt;"INSUMO",#REF!&lt;&gt;"")</formula>
    </cfRule>
    <cfRule type="expression" priority="122" dxfId="42" stopIfTrue="1">
      <formula>AND(OR(#REF!="COMPOSICAO",#REF!="INSUMO",#REF!&lt;&gt;""),#REF!&lt;&gt;"")</formula>
    </cfRule>
  </conditionalFormatting>
  <conditionalFormatting sqref="G148 A148">
    <cfRule type="expression" priority="119" dxfId="43" stopIfTrue="1">
      <formula>AND(#REF!&lt;&gt;"COMPOSICAO",#REF!&lt;&gt;"INSUMO",#REF!&lt;&gt;"")</formula>
    </cfRule>
    <cfRule type="expression" priority="120" dxfId="42" stopIfTrue="1">
      <formula>AND(OR(#REF!="COMPOSICAO",#REF!="INSUMO",#REF!&lt;&gt;""),#REF!&lt;&gt;"")</formula>
    </cfRule>
  </conditionalFormatting>
  <conditionalFormatting sqref="H148">
    <cfRule type="expression" priority="117" dxfId="43" stopIfTrue="1">
      <formula>AND(#REF!&lt;&gt;"COMPOSICAO",#REF!&lt;&gt;"INSUMO",#REF!&lt;&gt;"")</formula>
    </cfRule>
    <cfRule type="expression" priority="118" dxfId="42" stopIfTrue="1">
      <formula>AND(OR(#REF!="COMPOSICAO",#REF!="INSUMO",#REF!&lt;&gt;""),#REF!&lt;&gt;"")</formula>
    </cfRule>
  </conditionalFormatting>
  <conditionalFormatting sqref="G180 A180">
    <cfRule type="expression" priority="115" dxfId="43" stopIfTrue="1">
      <formula>AND(#REF!&lt;&gt;"COMPOSICAO",#REF!&lt;&gt;"INSUMO",#REF!&lt;&gt;"")</formula>
    </cfRule>
    <cfRule type="expression" priority="116" dxfId="42" stopIfTrue="1">
      <formula>AND(OR(#REF!="COMPOSICAO",#REF!="INSUMO",#REF!&lt;&gt;""),#REF!&lt;&gt;"")</formula>
    </cfRule>
  </conditionalFormatting>
  <conditionalFormatting sqref="H180">
    <cfRule type="expression" priority="113" dxfId="43" stopIfTrue="1">
      <formula>AND(#REF!&lt;&gt;"COMPOSICAO",#REF!&lt;&gt;"INSUMO",#REF!&lt;&gt;"")</formula>
    </cfRule>
    <cfRule type="expression" priority="114" dxfId="42" stopIfTrue="1">
      <formula>AND(OR(#REF!="COMPOSICAO",#REF!="INSUMO",#REF!&lt;&gt;""),#REF!&lt;&gt;"")</formula>
    </cfRule>
  </conditionalFormatting>
  <conditionalFormatting sqref="G199 A199">
    <cfRule type="expression" priority="111" dxfId="43" stopIfTrue="1">
      <formula>AND(#REF!&lt;&gt;"COMPOSICAO",#REF!&lt;&gt;"INSUMO",#REF!&lt;&gt;"")</formula>
    </cfRule>
    <cfRule type="expression" priority="112" dxfId="42" stopIfTrue="1">
      <formula>AND(OR(#REF!="COMPOSICAO",#REF!="INSUMO",#REF!&lt;&gt;""),#REF!&lt;&gt;"")</formula>
    </cfRule>
  </conditionalFormatting>
  <conditionalFormatting sqref="H199">
    <cfRule type="expression" priority="109" dxfId="43" stopIfTrue="1">
      <formula>AND(#REF!&lt;&gt;"COMPOSICAO",#REF!&lt;&gt;"INSUMO",#REF!&lt;&gt;"")</formula>
    </cfRule>
    <cfRule type="expression" priority="110" dxfId="42" stopIfTrue="1">
      <formula>AND(OR(#REF!="COMPOSICAO",#REF!="INSUMO",#REF!&lt;&gt;""),#REF!&lt;&gt;"")</formula>
    </cfRule>
  </conditionalFormatting>
  <conditionalFormatting sqref="G166 A166">
    <cfRule type="expression" priority="107" dxfId="43" stopIfTrue="1">
      <formula>AND(#REF!&lt;&gt;"COMPOSICAO",#REF!&lt;&gt;"INSUMO",#REF!&lt;&gt;"")</formula>
    </cfRule>
    <cfRule type="expression" priority="108" dxfId="42" stopIfTrue="1">
      <formula>AND(OR(#REF!="COMPOSICAO",#REF!="INSUMO",#REF!&lt;&gt;""),#REF!&lt;&gt;"")</formula>
    </cfRule>
  </conditionalFormatting>
  <conditionalFormatting sqref="H166">
    <cfRule type="expression" priority="105" dxfId="43" stopIfTrue="1">
      <formula>AND(#REF!&lt;&gt;"COMPOSICAO",#REF!&lt;&gt;"INSUMO",#REF!&lt;&gt;"")</formula>
    </cfRule>
    <cfRule type="expression" priority="106" dxfId="42" stopIfTrue="1">
      <formula>AND(OR(#REF!="COMPOSICAO",#REF!="INSUMO",#REF!&lt;&gt;""),#REF!&lt;&gt;"")</formula>
    </cfRule>
  </conditionalFormatting>
  <conditionalFormatting sqref="G218 A218">
    <cfRule type="expression" priority="103" dxfId="43" stopIfTrue="1">
      <formula>AND(#REF!&lt;&gt;"COMPOSICAO",#REF!&lt;&gt;"INSUMO",#REF!&lt;&gt;"")</formula>
    </cfRule>
    <cfRule type="expression" priority="104" dxfId="42" stopIfTrue="1">
      <formula>AND(OR(#REF!="COMPOSICAO",#REF!="INSUMO",#REF!&lt;&gt;""),#REF!&lt;&gt;"")</formula>
    </cfRule>
  </conditionalFormatting>
  <conditionalFormatting sqref="H218">
    <cfRule type="expression" priority="101" dxfId="43" stopIfTrue="1">
      <formula>AND(#REF!&lt;&gt;"COMPOSICAO",#REF!&lt;&gt;"INSUMO",#REF!&lt;&gt;"")</formula>
    </cfRule>
    <cfRule type="expression" priority="102" dxfId="42" stopIfTrue="1">
      <formula>AND(OR(#REF!="COMPOSICAO",#REF!="INSUMO",#REF!&lt;&gt;""),#REF!&lt;&gt;"")</formula>
    </cfRule>
  </conditionalFormatting>
  <conditionalFormatting sqref="A99 G99">
    <cfRule type="expression" priority="99" dxfId="43" stopIfTrue="1">
      <formula>AND(#REF!&lt;&gt;"COMPOSICAO",#REF!&lt;&gt;"INSUMO",#REF!&lt;&gt;"")</formula>
    </cfRule>
    <cfRule type="expression" priority="100" dxfId="42" stopIfTrue="1">
      <formula>AND(OR(#REF!="COMPOSICAO",#REF!="INSUMO",#REF!&lt;&gt;""),#REF!&lt;&gt;"")</formula>
    </cfRule>
  </conditionalFormatting>
  <conditionalFormatting sqref="H99">
    <cfRule type="expression" priority="97" dxfId="43" stopIfTrue="1">
      <formula>AND(#REF!&lt;&gt;"COMPOSICAO",#REF!&lt;&gt;"INSUMO",#REF!&lt;&gt;"")</formula>
    </cfRule>
    <cfRule type="expression" priority="98" dxfId="42" stopIfTrue="1">
      <formula>AND(OR(#REF!="COMPOSICAO",#REF!="INSUMO",#REF!&lt;&gt;""),#REF!&lt;&gt;"")</formula>
    </cfRule>
  </conditionalFormatting>
  <conditionalFormatting sqref="A107 G107">
    <cfRule type="expression" priority="95" dxfId="43" stopIfTrue="1">
      <formula>AND(#REF!&lt;&gt;"COMPOSICAO",#REF!&lt;&gt;"INSUMO",#REF!&lt;&gt;"")</formula>
    </cfRule>
    <cfRule type="expression" priority="96" dxfId="42" stopIfTrue="1">
      <formula>AND(OR(#REF!="COMPOSICAO",#REF!="INSUMO",#REF!&lt;&gt;""),#REF!&lt;&gt;"")</formula>
    </cfRule>
  </conditionalFormatting>
  <conditionalFormatting sqref="H107">
    <cfRule type="expression" priority="93" dxfId="43" stopIfTrue="1">
      <formula>AND(#REF!&lt;&gt;"COMPOSICAO",#REF!&lt;&gt;"INSUMO",#REF!&lt;&gt;"")</formula>
    </cfRule>
    <cfRule type="expression" priority="94" dxfId="42" stopIfTrue="1">
      <formula>AND(OR(#REF!="COMPOSICAO",#REF!="INSUMO",#REF!&lt;&gt;""),#REF!&lt;&gt;"")</formula>
    </cfRule>
  </conditionalFormatting>
  <conditionalFormatting sqref="G232 A232">
    <cfRule type="expression" priority="91" dxfId="43" stopIfTrue="1">
      <formula>AND(#REF!&lt;&gt;"COMPOSICAO",#REF!&lt;&gt;"INSUMO",#REF!&lt;&gt;"")</formula>
    </cfRule>
    <cfRule type="expression" priority="92" dxfId="42" stopIfTrue="1">
      <formula>AND(OR(#REF!="COMPOSICAO",#REF!="INSUMO",#REF!&lt;&gt;""),#REF!&lt;&gt;"")</formula>
    </cfRule>
  </conditionalFormatting>
  <conditionalFormatting sqref="H232">
    <cfRule type="expression" priority="89" dxfId="43" stopIfTrue="1">
      <formula>AND(#REF!&lt;&gt;"COMPOSICAO",#REF!&lt;&gt;"INSUMO",#REF!&lt;&gt;"")</formula>
    </cfRule>
    <cfRule type="expression" priority="90" dxfId="42" stopIfTrue="1">
      <formula>AND(OR(#REF!="COMPOSICAO",#REF!="INSUMO",#REF!&lt;&gt;""),#REF!&lt;&gt;"")</formula>
    </cfRule>
  </conditionalFormatting>
  <conditionalFormatting sqref="G242 A242">
    <cfRule type="expression" priority="87" dxfId="43" stopIfTrue="1">
      <formula>AND(#REF!&lt;&gt;"COMPOSICAO",#REF!&lt;&gt;"INSUMO",#REF!&lt;&gt;"")</formula>
    </cfRule>
    <cfRule type="expression" priority="88" dxfId="42" stopIfTrue="1">
      <formula>AND(OR(#REF!="COMPOSICAO",#REF!="INSUMO",#REF!&lt;&gt;""),#REF!&lt;&gt;"")</formula>
    </cfRule>
  </conditionalFormatting>
  <conditionalFormatting sqref="H242">
    <cfRule type="expression" priority="85" dxfId="43" stopIfTrue="1">
      <formula>AND(#REF!&lt;&gt;"COMPOSICAO",#REF!&lt;&gt;"INSUMO",#REF!&lt;&gt;"")</formula>
    </cfRule>
    <cfRule type="expression" priority="86" dxfId="42" stopIfTrue="1">
      <formula>AND(OR(#REF!="COMPOSICAO",#REF!="INSUMO",#REF!&lt;&gt;""),#REF!&lt;&gt;"")</formula>
    </cfRule>
  </conditionalFormatting>
  <conditionalFormatting sqref="G257 A257">
    <cfRule type="expression" priority="83" dxfId="43" stopIfTrue="1">
      <formula>AND(#REF!&lt;&gt;"COMPOSICAO",#REF!&lt;&gt;"INSUMO",#REF!&lt;&gt;"")</formula>
    </cfRule>
    <cfRule type="expression" priority="84" dxfId="42" stopIfTrue="1">
      <formula>AND(OR(#REF!="COMPOSICAO",#REF!="INSUMO",#REF!&lt;&gt;""),#REF!&lt;&gt;"")</formula>
    </cfRule>
  </conditionalFormatting>
  <conditionalFormatting sqref="H257">
    <cfRule type="expression" priority="81" dxfId="43" stopIfTrue="1">
      <formula>AND(#REF!&lt;&gt;"COMPOSICAO",#REF!&lt;&gt;"INSUMO",#REF!&lt;&gt;"")</formula>
    </cfRule>
    <cfRule type="expression" priority="82" dxfId="42" stopIfTrue="1">
      <formula>AND(OR(#REF!="COMPOSICAO",#REF!="INSUMO",#REF!&lt;&gt;""),#REF!&lt;&gt;"")</formula>
    </cfRule>
  </conditionalFormatting>
  <conditionalFormatting sqref="G283 A283">
    <cfRule type="expression" priority="79" dxfId="43" stopIfTrue="1">
      <formula>AND(#REF!&lt;&gt;"COMPOSICAO",#REF!&lt;&gt;"INSUMO",#REF!&lt;&gt;"")</formula>
    </cfRule>
    <cfRule type="expression" priority="80" dxfId="42" stopIfTrue="1">
      <formula>AND(OR(#REF!="COMPOSICAO",#REF!="INSUMO",#REF!&lt;&gt;""),#REF!&lt;&gt;"")</formula>
    </cfRule>
  </conditionalFormatting>
  <conditionalFormatting sqref="H283">
    <cfRule type="expression" priority="77" dxfId="43" stopIfTrue="1">
      <formula>AND(#REF!&lt;&gt;"COMPOSICAO",#REF!&lt;&gt;"INSUMO",#REF!&lt;&gt;"")</formula>
    </cfRule>
    <cfRule type="expression" priority="78" dxfId="42" stopIfTrue="1">
      <formula>AND(OR(#REF!="COMPOSICAO",#REF!="INSUMO",#REF!&lt;&gt;""),#REF!&lt;&gt;"")</formula>
    </cfRule>
  </conditionalFormatting>
  <conditionalFormatting sqref="G271 A271">
    <cfRule type="expression" priority="75" dxfId="43" stopIfTrue="1">
      <formula>AND(#REF!&lt;&gt;"COMPOSICAO",#REF!&lt;&gt;"INSUMO",#REF!&lt;&gt;"")</formula>
    </cfRule>
    <cfRule type="expression" priority="76" dxfId="42" stopIfTrue="1">
      <formula>AND(OR(#REF!="COMPOSICAO",#REF!="INSUMO",#REF!&lt;&gt;""),#REF!&lt;&gt;"")</formula>
    </cfRule>
  </conditionalFormatting>
  <conditionalFormatting sqref="H271">
    <cfRule type="expression" priority="73" dxfId="43" stopIfTrue="1">
      <formula>AND(#REF!&lt;&gt;"COMPOSICAO",#REF!&lt;&gt;"INSUMO",#REF!&lt;&gt;"")</formula>
    </cfRule>
    <cfRule type="expression" priority="74" dxfId="42" stopIfTrue="1">
      <formula>AND(OR(#REF!="COMPOSICAO",#REF!="INSUMO",#REF!&lt;&gt;""),#REF!&lt;&gt;"")</formula>
    </cfRule>
  </conditionalFormatting>
  <conditionalFormatting sqref="A127 G127">
    <cfRule type="expression" priority="67" dxfId="43" stopIfTrue="1">
      <formula>AND(#REF!&lt;&gt;"COMPOSICAO",#REF!&lt;&gt;"INSUMO",#REF!&lt;&gt;"")</formula>
    </cfRule>
    <cfRule type="expression" priority="68" dxfId="42" stopIfTrue="1">
      <formula>AND(OR(#REF!="COMPOSICAO",#REF!="INSUMO",#REF!&lt;&gt;""),#REF!&lt;&gt;"")</formula>
    </cfRule>
  </conditionalFormatting>
  <conditionalFormatting sqref="H127">
    <cfRule type="expression" priority="65" dxfId="43" stopIfTrue="1">
      <formula>AND(#REF!&lt;&gt;"COMPOSICAO",#REF!&lt;&gt;"INSUMO",#REF!&lt;&gt;"")</formula>
    </cfRule>
    <cfRule type="expression" priority="66" dxfId="42" stopIfTrue="1">
      <formula>AND(OR(#REF!="COMPOSICAO",#REF!="INSUMO",#REF!&lt;&gt;""),#REF!&lt;&gt;"")</formula>
    </cfRule>
  </conditionalFormatting>
  <conditionalFormatting sqref="A134 G134">
    <cfRule type="expression" priority="63" dxfId="43" stopIfTrue="1">
      <formula>AND(#REF!&lt;&gt;"COMPOSICAO",#REF!&lt;&gt;"INSUMO",#REF!&lt;&gt;"")</formula>
    </cfRule>
    <cfRule type="expression" priority="64" dxfId="42" stopIfTrue="1">
      <formula>AND(OR(#REF!="COMPOSICAO",#REF!="INSUMO",#REF!&lt;&gt;""),#REF!&lt;&gt;"")</formula>
    </cfRule>
  </conditionalFormatting>
  <conditionalFormatting sqref="H134">
    <cfRule type="expression" priority="61" dxfId="43" stopIfTrue="1">
      <formula>AND(#REF!&lt;&gt;"COMPOSICAO",#REF!&lt;&gt;"INSUMO",#REF!&lt;&gt;"")</formula>
    </cfRule>
    <cfRule type="expression" priority="62" dxfId="42" stopIfTrue="1">
      <formula>AND(OR(#REF!="COMPOSICAO",#REF!="INSUMO",#REF!&lt;&gt;""),#REF!&lt;&gt;"")</formula>
    </cfRule>
  </conditionalFormatting>
  <conditionalFormatting sqref="G299 A299">
    <cfRule type="expression" priority="59" dxfId="43" stopIfTrue="1">
      <formula>AND(#REF!&lt;&gt;"COMPOSICAO",#REF!&lt;&gt;"INSUMO",#REF!&lt;&gt;"")</formula>
    </cfRule>
    <cfRule type="expression" priority="60" dxfId="42" stopIfTrue="1">
      <formula>AND(OR(#REF!="COMPOSICAO",#REF!="INSUMO",#REF!&lt;&gt;""),#REF!&lt;&gt;"")</formula>
    </cfRule>
  </conditionalFormatting>
  <conditionalFormatting sqref="H299">
    <cfRule type="expression" priority="57" dxfId="43" stopIfTrue="1">
      <formula>AND(#REF!&lt;&gt;"COMPOSICAO",#REF!&lt;&gt;"INSUMO",#REF!&lt;&gt;"")</formula>
    </cfRule>
    <cfRule type="expression" priority="58" dxfId="42" stopIfTrue="1">
      <formula>AND(OR(#REF!="COMPOSICAO",#REF!="INSUMO",#REF!&lt;&gt;""),#REF!&lt;&gt;"")</formula>
    </cfRule>
  </conditionalFormatting>
  <conditionalFormatting sqref="G311 A311">
    <cfRule type="expression" priority="55" dxfId="43" stopIfTrue="1">
      <formula>AND(#REF!&lt;&gt;"COMPOSICAO",#REF!&lt;&gt;"INSUMO",#REF!&lt;&gt;"")</formula>
    </cfRule>
    <cfRule type="expression" priority="56" dxfId="42" stopIfTrue="1">
      <formula>AND(OR(#REF!="COMPOSICAO",#REF!="INSUMO",#REF!&lt;&gt;""),#REF!&lt;&gt;"")</formula>
    </cfRule>
  </conditionalFormatting>
  <conditionalFormatting sqref="H311">
    <cfRule type="expression" priority="53" dxfId="43" stopIfTrue="1">
      <formula>AND(#REF!&lt;&gt;"COMPOSICAO",#REF!&lt;&gt;"INSUMO",#REF!&lt;&gt;"")</formula>
    </cfRule>
    <cfRule type="expression" priority="54" dxfId="42" stopIfTrue="1">
      <formula>AND(OR(#REF!="COMPOSICAO",#REF!="INSUMO",#REF!&lt;&gt;""),#REF!&lt;&gt;"")</formula>
    </cfRule>
  </conditionalFormatting>
  <conditionalFormatting sqref="G323 A323">
    <cfRule type="expression" priority="51" dxfId="43" stopIfTrue="1">
      <formula>AND(#REF!&lt;&gt;"COMPOSICAO",#REF!&lt;&gt;"INSUMO",#REF!&lt;&gt;"")</formula>
    </cfRule>
    <cfRule type="expression" priority="52" dxfId="42" stopIfTrue="1">
      <formula>AND(OR(#REF!="COMPOSICAO",#REF!="INSUMO",#REF!&lt;&gt;""),#REF!&lt;&gt;"")</formula>
    </cfRule>
  </conditionalFormatting>
  <conditionalFormatting sqref="H323">
    <cfRule type="expression" priority="49" dxfId="43" stopIfTrue="1">
      <formula>AND(#REF!&lt;&gt;"COMPOSICAO",#REF!&lt;&gt;"INSUMO",#REF!&lt;&gt;"")</formula>
    </cfRule>
    <cfRule type="expression" priority="50" dxfId="42" stopIfTrue="1">
      <formula>AND(OR(#REF!="COMPOSICAO",#REF!="INSUMO",#REF!&lt;&gt;""),#REF!&lt;&gt;"")</formula>
    </cfRule>
  </conditionalFormatting>
  <conditionalFormatting sqref="G330:G332 A330">
    <cfRule type="expression" priority="47" dxfId="43" stopIfTrue="1">
      <formula>AND(#REF!&lt;&gt;"COMPOSICAO",#REF!&lt;&gt;"INSUMO",#REF!&lt;&gt;"")</formula>
    </cfRule>
    <cfRule type="expression" priority="48" dxfId="42" stopIfTrue="1">
      <formula>AND(OR(#REF!="COMPOSICAO",#REF!="INSUMO",#REF!&lt;&gt;""),#REF!&lt;&gt;"")</formula>
    </cfRule>
  </conditionalFormatting>
  <conditionalFormatting sqref="H330:H332">
    <cfRule type="expression" priority="45" dxfId="43" stopIfTrue="1">
      <formula>AND(#REF!&lt;&gt;"COMPOSICAO",#REF!&lt;&gt;"INSUMO",#REF!&lt;&gt;"")</formula>
    </cfRule>
    <cfRule type="expression" priority="46" dxfId="42" stopIfTrue="1">
      <formula>AND(OR(#REF!="COMPOSICAO",#REF!="INSUMO",#REF!&lt;&gt;""),#REF!&lt;&gt;"")</formula>
    </cfRule>
  </conditionalFormatting>
  <conditionalFormatting sqref="G346:G348 A346">
    <cfRule type="expression" priority="43" dxfId="43" stopIfTrue="1">
      <formula>AND(#REF!&lt;&gt;"COMPOSICAO",#REF!&lt;&gt;"INSUMO",#REF!&lt;&gt;"")</formula>
    </cfRule>
    <cfRule type="expression" priority="44" dxfId="42" stopIfTrue="1">
      <formula>AND(OR(#REF!="COMPOSICAO",#REF!="INSUMO",#REF!&lt;&gt;""),#REF!&lt;&gt;"")</formula>
    </cfRule>
  </conditionalFormatting>
  <conditionalFormatting sqref="H346:H348">
    <cfRule type="expression" priority="41" dxfId="43" stopIfTrue="1">
      <formula>AND(#REF!&lt;&gt;"COMPOSICAO",#REF!&lt;&gt;"INSUMO",#REF!&lt;&gt;"")</formula>
    </cfRule>
    <cfRule type="expression" priority="42" dxfId="42" stopIfTrue="1">
      <formula>AND(OR(#REF!="COMPOSICAO",#REF!="INSUMO",#REF!&lt;&gt;""),#REF!&lt;&gt;"")</formula>
    </cfRule>
  </conditionalFormatting>
  <conditionalFormatting sqref="G362:G364 A362">
    <cfRule type="expression" priority="39" dxfId="43" stopIfTrue="1">
      <formula>AND(#REF!&lt;&gt;"COMPOSICAO",#REF!&lt;&gt;"INSUMO",#REF!&lt;&gt;"")</formula>
    </cfRule>
    <cfRule type="expression" priority="40" dxfId="42" stopIfTrue="1">
      <formula>AND(OR(#REF!="COMPOSICAO",#REF!="INSUMO",#REF!&lt;&gt;""),#REF!&lt;&gt;"")</formula>
    </cfRule>
  </conditionalFormatting>
  <conditionalFormatting sqref="H362:H364">
    <cfRule type="expression" priority="37" dxfId="43" stopIfTrue="1">
      <formula>AND(#REF!&lt;&gt;"COMPOSICAO",#REF!&lt;&gt;"INSUMO",#REF!&lt;&gt;"")</formula>
    </cfRule>
    <cfRule type="expression" priority="38" dxfId="42" stopIfTrue="1">
      <formula>AND(OR(#REF!="COMPOSICAO",#REF!="INSUMO",#REF!&lt;&gt;""),#REF!&lt;&gt;"")</formula>
    </cfRule>
  </conditionalFormatting>
  <conditionalFormatting sqref="G378:G380 A378">
    <cfRule type="expression" priority="35" dxfId="43" stopIfTrue="1">
      <formula>AND(#REF!&lt;&gt;"COMPOSICAO",#REF!&lt;&gt;"INSUMO",#REF!&lt;&gt;"")</formula>
    </cfRule>
    <cfRule type="expression" priority="36" dxfId="42" stopIfTrue="1">
      <formula>AND(OR(#REF!="COMPOSICAO",#REF!="INSUMO",#REF!&lt;&gt;""),#REF!&lt;&gt;"")</formula>
    </cfRule>
  </conditionalFormatting>
  <conditionalFormatting sqref="H378:H380">
    <cfRule type="expression" priority="33" dxfId="43" stopIfTrue="1">
      <formula>AND(#REF!&lt;&gt;"COMPOSICAO",#REF!&lt;&gt;"INSUMO",#REF!&lt;&gt;"")</formula>
    </cfRule>
    <cfRule type="expression" priority="34" dxfId="42" stopIfTrue="1">
      <formula>AND(OR(#REF!="COMPOSICAO",#REF!="INSUMO",#REF!&lt;&gt;""),#REF!&lt;&gt;"")</formula>
    </cfRule>
  </conditionalFormatting>
  <conditionalFormatting sqref="A391 G391:G395">
    <cfRule type="expression" priority="31" dxfId="43" stopIfTrue="1">
      <formula>AND(#REF!&lt;&gt;"COMPOSICAO",#REF!&lt;&gt;"INSUMO",#REF!&lt;&gt;"")</formula>
    </cfRule>
    <cfRule type="expression" priority="32" dxfId="42" stopIfTrue="1">
      <formula>AND(OR(#REF!="COMPOSICAO",#REF!="INSUMO",#REF!&lt;&gt;""),#REF!&lt;&gt;"")</formula>
    </cfRule>
  </conditionalFormatting>
  <conditionalFormatting sqref="H391:H393">
    <cfRule type="expression" priority="29" dxfId="43" stopIfTrue="1">
      <formula>AND(#REF!&lt;&gt;"COMPOSICAO",#REF!&lt;&gt;"INSUMO",#REF!&lt;&gt;"")</formula>
    </cfRule>
    <cfRule type="expression" priority="30" dxfId="42" stopIfTrue="1">
      <formula>AND(OR(#REF!="COMPOSICAO",#REF!="INSUMO",#REF!&lt;&gt;""),#REF!&lt;&gt;"")</formula>
    </cfRule>
  </conditionalFormatting>
  <conditionalFormatting sqref="A401 G401:G405">
    <cfRule type="expression" priority="27" dxfId="43" stopIfTrue="1">
      <formula>AND(#REF!&lt;&gt;"COMPOSICAO",#REF!&lt;&gt;"INSUMO",#REF!&lt;&gt;"")</formula>
    </cfRule>
    <cfRule type="expression" priority="28" dxfId="42" stopIfTrue="1">
      <formula>AND(OR(#REF!="COMPOSICAO",#REF!="INSUMO",#REF!&lt;&gt;""),#REF!&lt;&gt;"")</formula>
    </cfRule>
  </conditionalFormatting>
  <conditionalFormatting sqref="H401:H403">
    <cfRule type="expression" priority="25" dxfId="43" stopIfTrue="1">
      <formula>AND(#REF!&lt;&gt;"COMPOSICAO",#REF!&lt;&gt;"INSUMO",#REF!&lt;&gt;"")</formula>
    </cfRule>
    <cfRule type="expression" priority="26" dxfId="42" stopIfTrue="1">
      <formula>AND(OR(#REF!="COMPOSICAO",#REF!="INSUMO",#REF!&lt;&gt;""),#REF!&lt;&gt;"")</formula>
    </cfRule>
  </conditionalFormatting>
  <conditionalFormatting sqref="A411 G411:G412 G414:G416">
    <cfRule type="expression" priority="23" dxfId="43" stopIfTrue="1">
      <formula>AND(#REF!&lt;&gt;"COMPOSICAO",#REF!&lt;&gt;"INSUMO",#REF!&lt;&gt;"")</formula>
    </cfRule>
    <cfRule type="expression" priority="24" dxfId="42" stopIfTrue="1">
      <formula>AND(OR(#REF!="COMPOSICAO",#REF!="INSUMO",#REF!&lt;&gt;""),#REF!&lt;&gt;"")</formula>
    </cfRule>
  </conditionalFormatting>
  <conditionalFormatting sqref="H411:H412 H414">
    <cfRule type="expression" priority="21" dxfId="43" stopIfTrue="1">
      <formula>AND(#REF!&lt;&gt;"COMPOSICAO",#REF!&lt;&gt;"INSUMO",#REF!&lt;&gt;"")</formula>
    </cfRule>
    <cfRule type="expression" priority="22" dxfId="42" stopIfTrue="1">
      <formula>AND(OR(#REF!="COMPOSICAO",#REF!="INSUMO",#REF!&lt;&gt;""),#REF!&lt;&gt;"")</formula>
    </cfRule>
  </conditionalFormatting>
  <conditionalFormatting sqref="A422">
    <cfRule type="expression" priority="19" dxfId="43" stopIfTrue="1">
      <formula>AND(#REF!&lt;&gt;"COMPOSICAO",#REF!&lt;&gt;"INSUMO",#REF!&lt;&gt;"")</formula>
    </cfRule>
    <cfRule type="expression" priority="20" dxfId="42" stopIfTrue="1">
      <formula>AND(OR(#REF!="COMPOSICAO",#REF!="INSUMO",#REF!&lt;&gt;""),#REF!&lt;&gt;"")</formula>
    </cfRule>
  </conditionalFormatting>
  <conditionalFormatting sqref="G432">
    <cfRule type="expression" priority="15" dxfId="43" stopIfTrue="1">
      <formula>AND(#REF!&lt;&gt;"COMPOSICAO",#REF!&lt;&gt;"INSUMO",#REF!&lt;&gt;"")</formula>
    </cfRule>
    <cfRule type="expression" priority="16" dxfId="42" stopIfTrue="1">
      <formula>AND(OR(#REF!="COMPOSICAO",#REF!="INSUMO",#REF!&lt;&gt;""),#REF!&lt;&gt;"")</formula>
    </cfRule>
  </conditionalFormatting>
  <conditionalFormatting sqref="G431">
    <cfRule type="expression" priority="11" dxfId="43" stopIfTrue="1">
      <formula>AND(#REF!&lt;&gt;"COMPOSICAO",#REF!&lt;&gt;"INSUMO",#REF!&lt;&gt;"")</formula>
    </cfRule>
    <cfRule type="expression" priority="12" dxfId="42" stopIfTrue="1">
      <formula>AND(OR(#REF!="COMPOSICAO",#REF!="INSUMO",#REF!&lt;&gt;""),#REF!&lt;&gt;"")</formula>
    </cfRule>
  </conditionalFormatting>
  <conditionalFormatting sqref="G428">
    <cfRule type="expression" priority="9" dxfId="43" stopIfTrue="1">
      <formula>AND(#REF!&lt;&gt;"COMPOSICAO",#REF!&lt;&gt;"INSUMO",#REF!&lt;&gt;"")</formula>
    </cfRule>
    <cfRule type="expression" priority="10" dxfId="42" stopIfTrue="1">
      <formula>AND(OR(#REF!="COMPOSICAO",#REF!="INSUMO",#REF!&lt;&gt;""),#REF!&lt;&gt;"")</formula>
    </cfRule>
  </conditionalFormatting>
  <conditionalFormatting sqref="G427">
    <cfRule type="expression" priority="7" dxfId="43" stopIfTrue="1">
      <formula>AND(#REF!&lt;&gt;"COMPOSICAO",#REF!&lt;&gt;"INSUMO",#REF!&lt;&gt;"")</formula>
    </cfRule>
    <cfRule type="expression" priority="8" dxfId="42" stopIfTrue="1">
      <formula>AND(OR(#REF!="COMPOSICAO",#REF!="INSUMO",#REF!&lt;&gt;""),#REF!&lt;&gt;"")</formula>
    </cfRule>
  </conditionalFormatting>
  <conditionalFormatting sqref="G430">
    <cfRule type="expression" priority="5" dxfId="43" stopIfTrue="1">
      <formula>AND(#REF!&lt;&gt;"COMPOSICAO",#REF!&lt;&gt;"INSUMO",#REF!&lt;&gt;"")</formula>
    </cfRule>
    <cfRule type="expression" priority="6" dxfId="42" stopIfTrue="1">
      <formula>AND(OR(#REF!="COMPOSICAO",#REF!="INSUMO",#REF!&lt;&gt;""),#REF!&lt;&gt;"")</formula>
    </cfRule>
  </conditionalFormatting>
  <conditionalFormatting sqref="G429">
    <cfRule type="expression" priority="3" dxfId="43" stopIfTrue="1">
      <formula>AND(#REF!&lt;&gt;"COMPOSICAO",#REF!&lt;&gt;"INSUMO",#REF!&lt;&gt;"")</formula>
    </cfRule>
    <cfRule type="expression" priority="4" dxfId="42" stopIfTrue="1">
      <formula>AND(OR(#REF!="COMPOSICAO",#REF!="INSUMO",#REF!&lt;&gt;""),#REF!&lt;&gt;"")</formula>
    </cfRule>
  </conditionalFormatting>
  <conditionalFormatting sqref="G413">
    <cfRule type="expression" priority="1" dxfId="43" stopIfTrue="1">
      <formula>AND(#REF!&lt;&gt;"COMPOSICAO",#REF!&lt;&gt;"INSUMO",#REF!&lt;&gt;"")</formula>
    </cfRule>
    <cfRule type="expression" priority="2" dxfId="42" stopIfTrue="1">
      <formula>AND(OR(#REF!="COMPOSICAO",#REF!="INSUMO",#REF!&lt;&gt;""),#REF!&lt;&gt;"")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paperSize="9" scale="60" r:id="rId2"/>
  <rowBreaks count="9" manualBreakCount="9">
    <brk id="51" max="16383" man="1"/>
    <brk id="89" max="16383" man="1"/>
    <brk id="132" max="16383" man="1"/>
    <brk id="170" max="16383" man="1"/>
    <brk id="206" max="16383" man="1"/>
    <brk id="247" max="16383" man="1"/>
    <brk id="296" max="16383" man="1"/>
    <brk id="339" max="16383" man="1"/>
    <brk id="407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T179"/>
  <sheetViews>
    <sheetView view="pageBreakPreview" zoomScale="85" zoomScaleSheetLayoutView="85" workbookViewId="0" topLeftCell="A148">
      <selection activeCell="H177" sqref="H177"/>
    </sheetView>
  </sheetViews>
  <sheetFormatPr defaultColWidth="9.140625" defaultRowHeight="12.75"/>
  <cols>
    <col min="1" max="1" width="20.57421875" style="256" customWidth="1"/>
    <col min="2" max="2" width="19.57421875" style="254" customWidth="1"/>
    <col min="3" max="3" width="77.8515625" style="426" customWidth="1"/>
    <col min="4" max="4" width="11.00390625" style="417" customWidth="1"/>
    <col min="5" max="5" width="12.00390625" style="239" customWidth="1"/>
    <col min="6" max="6" width="18.28125" style="242" customWidth="1"/>
    <col min="7" max="7" width="20.421875" style="417" bestFit="1" customWidth="1"/>
    <col min="8" max="8" width="24.7109375" style="243" customWidth="1"/>
    <col min="9" max="9" width="15.8515625" style="251" bestFit="1" customWidth="1"/>
    <col min="10" max="10" width="16.421875" style="2" customWidth="1"/>
    <col min="11" max="11" width="18.8515625" style="2" customWidth="1"/>
    <col min="12" max="12" width="20.7109375" style="2" customWidth="1"/>
    <col min="13" max="13" width="9.140625" style="2" customWidth="1"/>
    <col min="14" max="14" width="9.28125" style="2" bestFit="1" customWidth="1"/>
    <col min="15" max="15" width="16.28125" style="2" customWidth="1"/>
    <col min="16" max="16" width="8.57421875" style="2" customWidth="1"/>
    <col min="17" max="17" width="4.28125" style="2" customWidth="1"/>
    <col min="18" max="16384" width="9.140625" style="2" customWidth="1"/>
  </cols>
  <sheetData>
    <row r="1" spans="1:11" ht="109.5" customHeight="1">
      <c r="A1" s="1069" t="s">
        <v>132</v>
      </c>
      <c r="B1" s="1069"/>
      <c r="C1" s="1069"/>
      <c r="D1" s="1069"/>
      <c r="E1" s="1069"/>
      <c r="F1" s="1069"/>
      <c r="G1" s="1069"/>
      <c r="H1" s="1069"/>
      <c r="I1" s="1069"/>
      <c r="J1" s="9"/>
      <c r="K1" s="9"/>
    </row>
    <row r="2" spans="1:11" s="28" customFormat="1" ht="15">
      <c r="A2" s="255" t="s">
        <v>57</v>
      </c>
      <c r="B2" s="236" t="s">
        <v>171</v>
      </c>
      <c r="C2" s="421"/>
      <c r="D2" s="788" t="s">
        <v>95</v>
      </c>
      <c r="E2" s="789"/>
      <c r="F2" s="783" t="s">
        <v>172</v>
      </c>
      <c r="G2" s="784"/>
      <c r="H2" s="784"/>
      <c r="I2" s="785"/>
      <c r="J2" s="10"/>
      <c r="K2" s="10"/>
    </row>
    <row r="3" spans="1:11" s="28" customFormat="1" ht="15">
      <c r="A3" s="255" t="s">
        <v>58</v>
      </c>
      <c r="B3" s="782" t="s">
        <v>224</v>
      </c>
      <c r="C3" s="782"/>
      <c r="D3" s="787" t="s">
        <v>773</v>
      </c>
      <c r="E3" s="787"/>
      <c r="F3" s="786" t="s">
        <v>774</v>
      </c>
      <c r="G3" s="784"/>
      <c r="H3" s="784"/>
      <c r="I3" s="785"/>
      <c r="J3" s="11"/>
      <c r="K3" s="11"/>
    </row>
    <row r="4" spans="1:12" s="28" customFormat="1" ht="15">
      <c r="A4" s="255" t="s">
        <v>59</v>
      </c>
      <c r="B4" s="1070" t="s">
        <v>173</v>
      </c>
      <c r="C4" s="1070"/>
      <c r="D4" s="1070"/>
      <c r="E4" s="1070"/>
      <c r="F4" s="1070"/>
      <c r="G4" s="1070"/>
      <c r="H4" s="1070"/>
      <c r="I4" s="1070"/>
      <c r="J4" s="11"/>
      <c r="K4" s="11"/>
      <c r="L4" s="28">
        <f>F177</f>
        <v>0</v>
      </c>
    </row>
    <row r="5" spans="1:11" s="28" customFormat="1" ht="15">
      <c r="A5" s="255" t="s">
        <v>60</v>
      </c>
      <c r="B5" s="1068">
        <f>'BDI NÃO DESONERADO'!I25</f>
        <v>0.25</v>
      </c>
      <c r="C5" s="1068"/>
      <c r="D5" s="1068"/>
      <c r="E5" s="1068"/>
      <c r="F5" s="1068"/>
      <c r="G5" s="1068"/>
      <c r="H5" s="1068"/>
      <c r="I5" s="1068"/>
      <c r="J5" s="8"/>
      <c r="K5" s="8"/>
    </row>
    <row r="6" spans="1:11" s="28" customFormat="1" ht="15">
      <c r="A6" s="1061" t="s">
        <v>96</v>
      </c>
      <c r="B6" s="1062" t="s">
        <v>97</v>
      </c>
      <c r="C6" s="1062"/>
      <c r="D6" s="1063" t="s">
        <v>36</v>
      </c>
      <c r="E6" s="1064"/>
      <c r="F6" s="1065" t="s">
        <v>414</v>
      </c>
      <c r="G6" s="1065"/>
      <c r="H6" s="1065"/>
      <c r="I6" s="1065"/>
      <c r="J6" s="8"/>
      <c r="K6" s="8"/>
    </row>
    <row r="7" spans="1:11" s="28" customFormat="1" ht="27.6" customHeight="1">
      <c r="A7" s="1061"/>
      <c r="B7" s="1062"/>
      <c r="C7" s="1062"/>
      <c r="D7" s="1066" t="s">
        <v>98</v>
      </c>
      <c r="E7" s="1066"/>
      <c r="F7" s="1067" t="s">
        <v>99</v>
      </c>
      <c r="G7" s="1067"/>
      <c r="H7" s="1067"/>
      <c r="I7" s="1067"/>
      <c r="J7" s="12"/>
      <c r="K7" s="843">
        <v>0.9234</v>
      </c>
    </row>
    <row r="8" spans="1:10" s="680" customFormat="1" ht="14.25">
      <c r="A8" s="681"/>
      <c r="B8" s="682"/>
      <c r="C8" s="683"/>
      <c r="D8" s="564"/>
      <c r="E8" s="684"/>
      <c r="F8" s="564"/>
      <c r="G8" s="564"/>
      <c r="H8" s="678"/>
      <c r="I8" s="679"/>
      <c r="J8" s="844">
        <f>B5+1</f>
        <v>1.25</v>
      </c>
    </row>
    <row r="9" spans="1:12" s="28" customFormat="1" ht="14.25">
      <c r="A9" s="237" t="s">
        <v>6</v>
      </c>
      <c r="B9" s="253" t="s">
        <v>79</v>
      </c>
      <c r="C9" s="422" t="s">
        <v>7</v>
      </c>
      <c r="D9" s="237" t="s">
        <v>8</v>
      </c>
      <c r="E9" s="238" t="s">
        <v>9</v>
      </c>
      <c r="F9" s="240" t="s">
        <v>10</v>
      </c>
      <c r="G9" s="240" t="s">
        <v>26</v>
      </c>
      <c r="H9" s="245" t="s">
        <v>11</v>
      </c>
      <c r="I9" s="249" t="s">
        <v>25</v>
      </c>
      <c r="J9" s="843">
        <f>D5+1</f>
        <v>1</v>
      </c>
      <c r="L9" s="27"/>
    </row>
    <row r="10" spans="1:10" s="28" customFormat="1" ht="14.25">
      <c r="A10" s="565">
        <v>1</v>
      </c>
      <c r="B10" s="566"/>
      <c r="C10" s="577" t="s">
        <v>67</v>
      </c>
      <c r="D10" s="448"/>
      <c r="E10" s="448"/>
      <c r="F10" s="448"/>
      <c r="G10" s="448"/>
      <c r="H10" s="448"/>
      <c r="I10" s="569"/>
      <c r="J10" s="29"/>
    </row>
    <row r="11" spans="1:10" s="31" customFormat="1" ht="14.25">
      <c r="A11" s="456" t="s">
        <v>0</v>
      </c>
      <c r="B11" s="456" t="str">
        <f>'COMPOSIÇÕES NÃO DESONERADO'!A10</f>
        <v>COMPOSIÇÃO 01</v>
      </c>
      <c r="C11" s="457" t="s">
        <v>401</v>
      </c>
      <c r="D11" s="458" t="str">
        <f>'COMPOSIÇÕES NÃO DESONERADO'!J11</f>
        <v>UN.</v>
      </c>
      <c r="E11" s="459">
        <f>'ADM.-1.-2'!C22</f>
        <v>1</v>
      </c>
      <c r="F11" s="460">
        <f>'COMPOSIÇÕES NÃO DESONERADO'!J15</f>
        <v>9838.55</v>
      </c>
      <c r="G11" s="460">
        <f>ROUND((F11*$J$8),2)</f>
        <v>12298.19</v>
      </c>
      <c r="H11" s="460">
        <f>ROUND((E11*G11),2)</f>
        <v>12298.19</v>
      </c>
      <c r="I11" s="250">
        <f>H11/$H$159</f>
        <v>0.04870570297029704</v>
      </c>
      <c r="J11" s="30"/>
    </row>
    <row r="12" spans="1:9" s="28" customFormat="1" ht="14.25">
      <c r="A12" s="259"/>
      <c r="B12" s="260"/>
      <c r="C12" s="423"/>
      <c r="D12" s="260"/>
      <c r="E12" s="260"/>
      <c r="F12" s="263" t="s">
        <v>119</v>
      </c>
      <c r="G12" s="258"/>
      <c r="H12" s="257">
        <f>ROUND(SUM(H11:H11),2)</f>
        <v>12298.19</v>
      </c>
      <c r="I12" s="407">
        <f>SUM(I11:I11)</f>
        <v>0.04870570297029704</v>
      </c>
    </row>
    <row r="13" spans="1:9" s="680" customFormat="1" ht="14.25">
      <c r="A13" s="674"/>
      <c r="B13" s="675"/>
      <c r="C13" s="676"/>
      <c r="D13" s="563"/>
      <c r="E13" s="677"/>
      <c r="F13" s="563"/>
      <c r="G13" s="563"/>
      <c r="H13" s="678"/>
      <c r="I13" s="679"/>
    </row>
    <row r="14" spans="1:10" s="28" customFormat="1" ht="14.25">
      <c r="A14" s="565">
        <v>2</v>
      </c>
      <c r="B14" s="566"/>
      <c r="C14" s="577" t="s">
        <v>62</v>
      </c>
      <c r="D14" s="448"/>
      <c r="E14" s="448"/>
      <c r="F14" s="448"/>
      <c r="G14" s="448"/>
      <c r="H14" s="448"/>
      <c r="I14" s="569"/>
      <c r="J14" s="29"/>
    </row>
    <row r="15" spans="1:9" s="32" customFormat="1" ht="14.25">
      <c r="A15" s="458" t="s">
        <v>122</v>
      </c>
      <c r="B15" s="463" t="str">
        <f>'COMPOSIÇÕES NÃO DESONERADO'!A17</f>
        <v>COMPOSIÇÃO 02</v>
      </c>
      <c r="C15" s="464" t="s">
        <v>35</v>
      </c>
      <c r="D15" s="458" t="s">
        <v>255</v>
      </c>
      <c r="E15" s="459">
        <f>'ADM.-1.-2'!B30</f>
        <v>6.48</v>
      </c>
      <c r="F15" s="462">
        <f>'COMPOSIÇÕES NÃO DESONERADO'!J27</f>
        <v>351.8</v>
      </c>
      <c r="G15" s="460">
        <f>ROUND((F15*$J$8),2)</f>
        <v>439.75</v>
      </c>
      <c r="H15" s="460">
        <f>ROUND((E15*G15),2)</f>
        <v>2849.58</v>
      </c>
      <c r="I15" s="250">
        <f>H15/$H$159</f>
        <v>0.011285465346534655</v>
      </c>
    </row>
    <row r="16" spans="1:16" s="32" customFormat="1" ht="25.5">
      <c r="A16" s="458" t="s">
        <v>123</v>
      </c>
      <c r="B16" s="463">
        <v>99059</v>
      </c>
      <c r="C16" s="464" t="s">
        <v>228</v>
      </c>
      <c r="D16" s="458" t="s">
        <v>69</v>
      </c>
      <c r="E16" s="459">
        <f>'ADM.-1.-2'!C50</f>
        <v>90.3</v>
      </c>
      <c r="F16" s="462">
        <f>ROUND((38.13*75%),2)</f>
        <v>28.6</v>
      </c>
      <c r="G16" s="460">
        <f>ROUND((F16*$J$8),2)</f>
        <v>35.75</v>
      </c>
      <c r="H16" s="460">
        <f>ROUND((E16*G16),2)</f>
        <v>3228.23</v>
      </c>
      <c r="I16" s="250">
        <f>H16/$H$159</f>
        <v>0.012785069306930694</v>
      </c>
      <c r="P16" s="33"/>
    </row>
    <row r="17" spans="1:16" s="32" customFormat="1" ht="25.5">
      <c r="A17" s="525" t="s">
        <v>124</v>
      </c>
      <c r="B17" s="474">
        <v>93208</v>
      </c>
      <c r="C17" s="526" t="s">
        <v>73</v>
      </c>
      <c r="D17" s="525" t="s">
        <v>255</v>
      </c>
      <c r="E17" s="527">
        <f>'ADM.-1.-2'!C56</f>
        <v>12</v>
      </c>
      <c r="F17" s="475">
        <f>ROUND((622.08*75%),2)</f>
        <v>466.56</v>
      </c>
      <c r="G17" s="523">
        <f>ROUND((F17*$J$8),2)</f>
        <v>583.2</v>
      </c>
      <c r="H17" s="460">
        <f>ROUND((E17*G17),2)</f>
        <v>6998.4</v>
      </c>
      <c r="I17" s="250">
        <f>H17/$H$159</f>
        <v>0.02771643564356436</v>
      </c>
      <c r="J17" s="430"/>
      <c r="P17" s="33"/>
    </row>
    <row r="18" spans="1:10" s="32" customFormat="1" ht="14.25">
      <c r="A18" s="261"/>
      <c r="B18" s="262"/>
      <c r="C18" s="424"/>
      <c r="D18" s="262"/>
      <c r="E18" s="262"/>
      <c r="F18" s="263" t="s">
        <v>120</v>
      </c>
      <c r="G18" s="258"/>
      <c r="H18" s="257">
        <f>SUM(H14:H17)</f>
        <v>13076.21</v>
      </c>
      <c r="I18" s="427">
        <f>SUM(I15:I17)</f>
        <v>0.05178697029702971</v>
      </c>
      <c r="J18" s="431"/>
    </row>
    <row r="19" spans="1:9" s="680" customFormat="1" ht="14.25">
      <c r="A19" s="674"/>
      <c r="B19" s="675"/>
      <c r="C19" s="676"/>
      <c r="D19" s="563"/>
      <c r="E19" s="677"/>
      <c r="F19" s="563"/>
      <c r="G19" s="563"/>
      <c r="H19" s="678"/>
      <c r="I19" s="679"/>
    </row>
    <row r="20" spans="1:20" s="32" customFormat="1" ht="14.25">
      <c r="A20" s="565">
        <v>3</v>
      </c>
      <c r="B20" s="566"/>
      <c r="C20" s="577" t="s">
        <v>382</v>
      </c>
      <c r="D20" s="448"/>
      <c r="E20" s="448"/>
      <c r="F20" s="448"/>
      <c r="G20" s="448"/>
      <c r="H20" s="448"/>
      <c r="I20" s="569"/>
      <c r="J20" s="1054"/>
      <c r="K20" s="1055"/>
      <c r="L20" s="1056"/>
      <c r="M20" s="1056"/>
      <c r="N20" s="1056"/>
      <c r="O20" s="1057"/>
      <c r="P20" s="1057"/>
      <c r="Q20" s="1057"/>
      <c r="R20" s="1057"/>
      <c r="S20" s="1057"/>
      <c r="T20" s="1057"/>
    </row>
    <row r="21" spans="1:20" s="32" customFormat="1" ht="14.25">
      <c r="A21" s="477"/>
      <c r="B21" s="478"/>
      <c r="C21" s="425" t="s">
        <v>317</v>
      </c>
      <c r="D21" s="477"/>
      <c r="E21" s="477"/>
      <c r="F21" s="458"/>
      <c r="G21" s="477"/>
      <c r="H21" s="458"/>
      <c r="I21" s="477"/>
      <c r="J21" s="1054"/>
      <c r="K21" s="1055"/>
      <c r="L21" s="1056"/>
      <c r="M21" s="1056"/>
      <c r="N21" s="1056"/>
      <c r="O21" s="1057"/>
      <c r="P21" s="1057"/>
      <c r="Q21" s="1057"/>
      <c r="R21" s="1057"/>
      <c r="S21" s="1057"/>
      <c r="T21" s="1057"/>
    </row>
    <row r="22" spans="1:20" s="32" customFormat="1" ht="38.25">
      <c r="A22" s="458" t="s">
        <v>315</v>
      </c>
      <c r="B22" s="476" t="s">
        <v>761</v>
      </c>
      <c r="C22" s="464" t="s">
        <v>762</v>
      </c>
      <c r="D22" s="458" t="s">
        <v>226</v>
      </c>
      <c r="E22" s="533">
        <f>'PAV.-3.-4.'!C24</f>
        <v>10.15</v>
      </c>
      <c r="F22" s="462">
        <f>$K$7*670.38</f>
        <v>619.028892</v>
      </c>
      <c r="G22" s="460">
        <f>ROUND((F22*$J$8),2)</f>
        <v>773.79</v>
      </c>
      <c r="H22" s="460">
        <f>ROUND((E22*G22),2)</f>
        <v>7853.97</v>
      </c>
      <c r="I22" s="250">
        <f>H22/$H$159</f>
        <v>0.03110483168316832</v>
      </c>
      <c r="J22" s="1054"/>
      <c r="K22" s="1055"/>
      <c r="L22" s="1056"/>
      <c r="M22" s="1056"/>
      <c r="N22" s="1056"/>
      <c r="O22" s="1057"/>
      <c r="P22" s="1057"/>
      <c r="Q22" s="1057"/>
      <c r="R22" s="1057"/>
      <c r="S22" s="1057"/>
      <c r="T22" s="1057"/>
    </row>
    <row r="23" spans="1:20" s="32" customFormat="1" ht="14.25">
      <c r="A23" s="477"/>
      <c r="B23" s="478"/>
      <c r="C23" s="425" t="s">
        <v>221</v>
      </c>
      <c r="D23" s="477"/>
      <c r="E23" s="477"/>
      <c r="F23" s="458"/>
      <c r="G23" s="477"/>
      <c r="H23" s="458"/>
      <c r="I23" s="477"/>
      <c r="J23" s="1054"/>
      <c r="K23" s="1055"/>
      <c r="L23" s="1056"/>
      <c r="M23" s="1056"/>
      <c r="N23" s="1056"/>
      <c r="O23" s="1057"/>
      <c r="P23" s="1057"/>
      <c r="Q23" s="1057"/>
      <c r="R23" s="1057"/>
      <c r="S23" s="1057"/>
      <c r="T23" s="1057"/>
    </row>
    <row r="24" spans="1:20" s="32" customFormat="1" ht="25.5">
      <c r="A24" s="525" t="s">
        <v>316</v>
      </c>
      <c r="B24" s="530" t="str">
        <f>'COMPOSIÇÕES NÃO DESONERADO'!A29</f>
        <v>COMPOSIÇÃO 03</v>
      </c>
      <c r="C24" s="526" t="str">
        <f>'COMPOSIÇÕES NÃO DESONERADO'!A30</f>
        <v>PISO TÁTIL EM LADRILHO HIDRÁULICO DIRECIONAL E ALERTA, DIMENSÕES 20X20CM, E=2CM. INCL. PERDAS.</v>
      </c>
      <c r="D24" s="525" t="s">
        <v>63</v>
      </c>
      <c r="E24" s="534">
        <f>'PAV.-3.-4.'!C47</f>
        <v>10.8</v>
      </c>
      <c r="F24" s="475">
        <f>'COMPOSIÇÕES NÃO DESONERADO'!J37</f>
        <v>72.62</v>
      </c>
      <c r="G24" s="523">
        <f>ROUND((F24*$J$8),2)</f>
        <v>90.78</v>
      </c>
      <c r="H24" s="460">
        <f>ROUND((E24*G24),2)</f>
        <v>980.42</v>
      </c>
      <c r="I24" s="250">
        <f>H24/$H$159</f>
        <v>0.003882851485148515</v>
      </c>
      <c r="J24" s="1054"/>
      <c r="K24" s="1055"/>
      <c r="L24" s="1056"/>
      <c r="M24" s="1056"/>
      <c r="N24" s="1056"/>
      <c r="O24" s="1057"/>
      <c r="P24" s="1057"/>
      <c r="Q24" s="1057"/>
      <c r="R24" s="1057"/>
      <c r="S24" s="1057"/>
      <c r="T24" s="1057"/>
    </row>
    <row r="25" spans="1:20" s="32" customFormat="1" ht="14.25">
      <c r="A25" s="259"/>
      <c r="B25" s="260"/>
      <c r="C25" s="423"/>
      <c r="D25" s="260"/>
      <c r="E25" s="260"/>
      <c r="F25" s="263" t="s">
        <v>351</v>
      </c>
      <c r="G25" s="258"/>
      <c r="H25" s="257">
        <f>SUM(H20:H24)</f>
        <v>8834.39</v>
      </c>
      <c r="I25" s="427">
        <f>SUM(I22:I24)</f>
        <v>0.03498768316831684</v>
      </c>
      <c r="J25" s="1054"/>
      <c r="K25" s="1055"/>
      <c r="L25" s="1056"/>
      <c r="M25" s="1056"/>
      <c r="N25" s="1056"/>
      <c r="O25" s="1057"/>
      <c r="P25" s="1057"/>
      <c r="Q25" s="1057"/>
      <c r="R25" s="1057"/>
      <c r="S25" s="1057"/>
      <c r="T25" s="1057"/>
    </row>
    <row r="26" spans="1:20" s="680" customFormat="1" ht="14.25">
      <c r="A26" s="539"/>
      <c r="B26" s="540"/>
      <c r="C26" s="541"/>
      <c r="D26" s="540"/>
      <c r="E26" s="540"/>
      <c r="F26" s="542"/>
      <c r="G26" s="542"/>
      <c r="H26" s="543"/>
      <c r="I26" s="544"/>
      <c r="J26" s="1054"/>
      <c r="K26" s="1055"/>
      <c r="L26" s="1056"/>
      <c r="M26" s="1056"/>
      <c r="N26" s="1056"/>
      <c r="O26" s="1057"/>
      <c r="P26" s="1057"/>
      <c r="Q26" s="1057"/>
      <c r="R26" s="1057"/>
      <c r="S26" s="1057"/>
      <c r="T26" s="1057"/>
    </row>
    <row r="27" spans="1:20" s="32" customFormat="1" ht="14.25">
      <c r="A27" s="565">
        <v>4</v>
      </c>
      <c r="B27" s="566"/>
      <c r="C27" s="447" t="s">
        <v>100</v>
      </c>
      <c r="D27" s="448"/>
      <c r="E27" s="448"/>
      <c r="F27" s="448"/>
      <c r="G27" s="448"/>
      <c r="H27" s="448"/>
      <c r="I27" s="569"/>
      <c r="J27" s="1054"/>
      <c r="K27" s="1055"/>
      <c r="L27" s="1056"/>
      <c r="M27" s="1056"/>
      <c r="N27" s="1056"/>
      <c r="O27" s="1057"/>
      <c r="P27" s="1057"/>
      <c r="Q27" s="1057"/>
      <c r="R27" s="1057"/>
      <c r="S27" s="1057"/>
      <c r="T27" s="1057"/>
    </row>
    <row r="28" spans="1:20" s="32" customFormat="1" ht="14.25">
      <c r="A28" s="578" t="s">
        <v>107</v>
      </c>
      <c r="B28" s="579"/>
      <c r="C28" s="580" t="s">
        <v>256</v>
      </c>
      <c r="D28" s="564"/>
      <c r="E28" s="581"/>
      <c r="F28" s="582"/>
      <c r="G28" s="583"/>
      <c r="H28" s="583"/>
      <c r="I28" s="584"/>
      <c r="J28" s="1054"/>
      <c r="K28" s="1055"/>
      <c r="L28" s="1056"/>
      <c r="M28" s="1056"/>
      <c r="N28" s="1056"/>
      <c r="O28" s="1057"/>
      <c r="P28" s="1057"/>
      <c r="Q28" s="1057"/>
      <c r="R28" s="1057"/>
      <c r="S28" s="1057"/>
      <c r="T28" s="1057"/>
    </row>
    <row r="29" spans="1:20" s="32" customFormat="1" ht="14.25">
      <c r="A29" s="458" t="s">
        <v>318</v>
      </c>
      <c r="B29" s="480" t="s">
        <v>424</v>
      </c>
      <c r="C29" s="535" t="s">
        <v>425</v>
      </c>
      <c r="D29" s="458" t="s">
        <v>63</v>
      </c>
      <c r="E29" s="481">
        <f>'PAV.-3.-4.'!C63</f>
        <v>8.16</v>
      </c>
      <c r="F29" s="482">
        <f>$K$7*8.07</f>
        <v>7.451838</v>
      </c>
      <c r="G29" s="482">
        <f>ROUND((F29*$J$8),2)</f>
        <v>9.31</v>
      </c>
      <c r="H29" s="460">
        <f>ROUND((E29*G29),2)</f>
        <v>75.97</v>
      </c>
      <c r="I29" s="250">
        <f>H29/$H$159</f>
        <v>0.0003008712871287129</v>
      </c>
      <c r="J29" s="1054"/>
      <c r="K29" s="1055"/>
      <c r="L29" s="1056"/>
      <c r="M29" s="1056"/>
      <c r="N29" s="1056"/>
      <c r="O29" s="1057"/>
      <c r="P29" s="1057"/>
      <c r="Q29" s="1057"/>
      <c r="R29" s="1057"/>
      <c r="S29" s="1057"/>
      <c r="T29" s="1057"/>
    </row>
    <row r="30" spans="1:20" s="32" customFormat="1" ht="14.25">
      <c r="A30" s="458" t="s">
        <v>319</v>
      </c>
      <c r="B30" s="480">
        <v>98509</v>
      </c>
      <c r="C30" s="538" t="s">
        <v>229</v>
      </c>
      <c r="D30" s="458" t="s">
        <v>227</v>
      </c>
      <c r="E30" s="481">
        <f>'PAV.-3.-4.'!C67</f>
        <v>50</v>
      </c>
      <c r="F30" s="479">
        <f>ROUND($K$7*22.76,2)</f>
        <v>21.02</v>
      </c>
      <c r="G30" s="482">
        <f>ROUND((F30*$J$8),2)</f>
        <v>26.28</v>
      </c>
      <c r="H30" s="460">
        <f>ROUND((E30*G30),2)</f>
        <v>1314</v>
      </c>
      <c r="I30" s="250">
        <f>H30/$H$159</f>
        <v>0.005203960396039604</v>
      </c>
      <c r="J30" s="1054"/>
      <c r="K30" s="1055"/>
      <c r="L30" s="1056"/>
      <c r="M30" s="1056"/>
      <c r="N30" s="1056"/>
      <c r="O30" s="1057"/>
      <c r="P30" s="1057"/>
      <c r="Q30" s="1057"/>
      <c r="R30" s="1057"/>
      <c r="S30" s="1057"/>
      <c r="T30" s="1057"/>
    </row>
    <row r="31" spans="1:20" s="32" customFormat="1" ht="14.25">
      <c r="A31" s="578" t="s">
        <v>215</v>
      </c>
      <c r="B31" s="579"/>
      <c r="C31" s="580" t="s">
        <v>110</v>
      </c>
      <c r="D31" s="564"/>
      <c r="E31" s="581"/>
      <c r="F31" s="582"/>
      <c r="G31" s="583"/>
      <c r="H31" s="583"/>
      <c r="I31" s="584"/>
      <c r="J31" s="1054"/>
      <c r="K31" s="1055"/>
      <c r="L31" s="1056"/>
      <c r="M31" s="1056"/>
      <c r="N31" s="1056"/>
      <c r="O31" s="1057"/>
      <c r="P31" s="1057"/>
      <c r="Q31" s="1057"/>
      <c r="R31" s="1057"/>
      <c r="S31" s="1057"/>
      <c r="T31" s="1057"/>
    </row>
    <row r="32" spans="1:20" s="32" customFormat="1" ht="25.5">
      <c r="A32" s="458" t="s">
        <v>320</v>
      </c>
      <c r="B32" s="456" t="str">
        <f>'COMPOSIÇÕES NÃO DESONERADO'!A39</f>
        <v>COMPOSIÇÃO 04</v>
      </c>
      <c r="C32" s="464" t="str">
        <f>'COMPOSIÇÕES NÃO DESONERADO'!A40</f>
        <v>LIXEIRA EM CESTO EM ESTRUTURA METALICA , BLOCO E APOIO EM CONCRETO - FORNECIMENTO E EXECUÇÃO</v>
      </c>
      <c r="D32" s="458" t="s">
        <v>72</v>
      </c>
      <c r="E32" s="587">
        <f>'PAV.-3.-4.'!C72</f>
        <v>4</v>
      </c>
      <c r="F32" s="483">
        <f>'COMPOSIÇÕES NÃO DESONERADO'!J62</f>
        <v>335.52</v>
      </c>
      <c r="G32" s="482">
        <f>ROUND((F32*$J$8),2)</f>
        <v>419.4</v>
      </c>
      <c r="H32" s="460">
        <f>ROUND((E32*G32),2)</f>
        <v>1677.6</v>
      </c>
      <c r="I32" s="250">
        <f>H32/$H$159</f>
        <v>0.006643960396039605</v>
      </c>
      <c r="J32" s="35"/>
      <c r="K32" s="466"/>
      <c r="L32" s="37"/>
      <c r="M32" s="37"/>
      <c r="N32" s="37"/>
      <c r="O32" s="38"/>
      <c r="P32" s="38"/>
      <c r="Q32" s="38"/>
      <c r="R32" s="38"/>
      <c r="S32" s="38"/>
      <c r="T32" s="38"/>
    </row>
    <row r="33" spans="1:20" s="32" customFormat="1" ht="15">
      <c r="A33" s="578" t="s">
        <v>321</v>
      </c>
      <c r="B33" s="579"/>
      <c r="C33" s="580" t="s">
        <v>168</v>
      </c>
      <c r="D33" s="564"/>
      <c r="E33" s="581"/>
      <c r="F33" s="582"/>
      <c r="G33" s="583"/>
      <c r="H33" s="583"/>
      <c r="I33" s="584"/>
      <c r="J33" s="35"/>
      <c r="K33" s="466"/>
      <c r="L33" s="37"/>
      <c r="M33" s="37"/>
      <c r="N33" s="37"/>
      <c r="O33" s="38"/>
      <c r="P33" s="38"/>
      <c r="Q33" s="38"/>
      <c r="R33" s="38"/>
      <c r="S33" s="38"/>
      <c r="T33" s="38"/>
    </row>
    <row r="34" spans="1:20" s="32" customFormat="1" ht="25.5">
      <c r="A34" s="458" t="s">
        <v>322</v>
      </c>
      <c r="B34" s="484" t="str">
        <f>'COMPOSIÇÕES NÃO DESONERADO'!A146</f>
        <v>COMPOSIÇÃO 09</v>
      </c>
      <c r="C34" s="464" t="str">
        <f>'COMPOSIÇÕES NÃO DESONERADO'!A147</f>
        <v>BANCO EM CONCRETO ARMADO 1,95X0,5X0,45M - ACABAMENTO COM SELANTE ACRÍLICO PARA CONCRETO APARENTE</v>
      </c>
      <c r="D34" s="593" t="s">
        <v>437</v>
      </c>
      <c r="E34" s="587">
        <f>'PAV.-3.-4.'!C78</f>
        <v>4</v>
      </c>
      <c r="F34" s="483">
        <f>'COMPOSIÇÕES NÃO DESONERADO'!J162</f>
        <v>574.88</v>
      </c>
      <c r="G34" s="482">
        <f>ROUND((F34*$J$8),2)</f>
        <v>718.6</v>
      </c>
      <c r="H34" s="460">
        <f>ROUND((E34*G34),2)</f>
        <v>2874.4</v>
      </c>
      <c r="I34" s="250">
        <f>H34/$H$159</f>
        <v>0.011383762376237625</v>
      </c>
      <c r="J34" s="35"/>
      <c r="K34" s="466"/>
      <c r="L34" s="37"/>
      <c r="M34" s="37"/>
      <c r="N34" s="37"/>
      <c r="O34" s="38"/>
      <c r="P34" s="38"/>
      <c r="Q34" s="38"/>
      <c r="R34" s="38"/>
      <c r="S34" s="38"/>
      <c r="T34" s="38"/>
    </row>
    <row r="35" spans="1:20" s="32" customFormat="1" ht="15">
      <c r="A35" s="578" t="s">
        <v>323</v>
      </c>
      <c r="B35" s="579"/>
      <c r="C35" s="580" t="s">
        <v>443</v>
      </c>
      <c r="D35" s="564"/>
      <c r="E35" s="581"/>
      <c r="F35" s="582"/>
      <c r="G35" s="583"/>
      <c r="H35" s="583"/>
      <c r="I35" s="584"/>
      <c r="J35" s="35"/>
      <c r="K35" s="466"/>
      <c r="L35" s="37"/>
      <c r="M35" s="37"/>
      <c r="N35" s="37"/>
      <c r="O35" s="38"/>
      <c r="P35" s="38"/>
      <c r="Q35" s="38"/>
      <c r="R35" s="38"/>
      <c r="S35" s="38"/>
      <c r="T35" s="38"/>
    </row>
    <row r="36" spans="1:20" s="32" customFormat="1" ht="63.75">
      <c r="A36" s="598" t="s">
        <v>324</v>
      </c>
      <c r="B36" s="456" t="str">
        <f>'COMPOSIÇÕES NÃO DESONERADO'!A164</f>
        <v>COMPOSIÇÃO 10</v>
      </c>
      <c r="C36" s="706" t="str">
        <f>'COMPOSIÇÕES NÃO DESONERADO'!A165</f>
        <v>CANTEIRO ELEVADO PARA FLOREIRA - TIPO 1 - SOBRE VIGA BALDRAME DA EDIFICAÇÃO, COM ALVENARIA EM TIJOLOS CERÂMICOS MACIÇOS DE ESPESSURA 10CM IMPERMEABILIZADOS PELO LADO INTERNO, CHAPISCO, EMBOÇO, SELADOR E PINTURA TEXTURIZADA ACRÍLICA - INCLUSO TERRA VEGETAL</v>
      </c>
      <c r="D36" s="458" t="s">
        <v>437</v>
      </c>
      <c r="E36" s="600">
        <f>'PAV.-3.-4.'!D85</f>
        <v>2</v>
      </c>
      <c r="F36" s="479">
        <f>'COMPOSIÇÕES NÃO DESONERADO'!J176</f>
        <v>491.5</v>
      </c>
      <c r="G36" s="460">
        <f>ROUND((F36*$J$8),2)</f>
        <v>614.38</v>
      </c>
      <c r="H36" s="479">
        <f>ROUND((E36*G36),2)</f>
        <v>1228.76</v>
      </c>
      <c r="I36" s="250">
        <f>H36/$H$159</f>
        <v>0.004866376237623763</v>
      </c>
      <c r="J36" s="415"/>
      <c r="K36" s="416"/>
      <c r="L36" s="413"/>
      <c r="M36" s="413"/>
      <c r="N36" s="413"/>
      <c r="O36" s="414"/>
      <c r="P36" s="414"/>
      <c r="Q36" s="414"/>
      <c r="R36" s="414"/>
      <c r="S36" s="414"/>
      <c r="T36" s="414"/>
    </row>
    <row r="37" spans="1:20" s="32" customFormat="1" ht="63.75">
      <c r="A37" s="598" t="s">
        <v>325</v>
      </c>
      <c r="B37" s="484" t="str">
        <f>'COMPOSIÇÕES NÃO DESONERADO'!A178</f>
        <v>COMPOSIÇÃO 11</v>
      </c>
      <c r="C37" s="706" t="str">
        <f>'COMPOSIÇÕES NÃO DESONERADO'!A179</f>
        <v>CANTEIRO ELEVADO PARA FLOREIRA - TIPO 2 - COM BALDRAMEEM CONCRETO CICLÓPICO IMPERMEABILIZADO, ALVENARIA EM TIJOLOS CERÂMICOS MACIÇOS DE ESPESSURA 10CM IMPERMEABILIZADOS PELO LADO INTERNO, CHAPISCO, EMBOÇO, SELADOR E PINTURA TEXTURIZADA ACRÍLICA - INCLUSO TERRA VEGETAL</v>
      </c>
      <c r="D37" s="458" t="s">
        <v>437</v>
      </c>
      <c r="E37" s="600">
        <f>'PAV.-3.-4.'!D91</f>
        <v>2</v>
      </c>
      <c r="F37" s="479">
        <f>'COMPOSIÇÕES NÃO DESONERADO'!J195</f>
        <v>2990.47</v>
      </c>
      <c r="G37" s="460">
        <f>ROUND((F37*$J$8),2)</f>
        <v>3738.09</v>
      </c>
      <c r="H37" s="479">
        <f>ROUND((E37*G37),2)</f>
        <v>7476.18</v>
      </c>
      <c r="I37" s="250">
        <f>H37/$H$159</f>
        <v>0.02960863366336634</v>
      </c>
      <c r="J37" s="415"/>
      <c r="K37" s="416"/>
      <c r="L37" s="413"/>
      <c r="M37" s="413"/>
      <c r="N37" s="413"/>
      <c r="O37" s="414"/>
      <c r="P37" s="414"/>
      <c r="Q37" s="414"/>
      <c r="R37" s="414"/>
      <c r="S37" s="414"/>
      <c r="T37" s="414"/>
    </row>
    <row r="38" spans="1:20" s="32" customFormat="1" ht="63.75">
      <c r="A38" s="598" t="s">
        <v>326</v>
      </c>
      <c r="B38" s="485" t="str">
        <f>'COMPOSIÇÕES NÃO DESONERADO'!A197</f>
        <v>COMPOSIÇÃO 12</v>
      </c>
      <c r="C38" s="706" t="str">
        <f>'COMPOSIÇÕES NÃO DESONERADO'!A198</f>
        <v>CANTEIRO ELEVADO PARA FLOREIRA - TIPO 3 - COM BALDRAMEEM CONCRETO CICLÓPICO IMPERMEABILIZADO, ALVENARIA EM TIJOLOS CERÂMICOS MACIÇOS DE ESPESSURA 10CM IMPERMEABILIZADOS PELO LADO INTERNO, CHAPISCO, EMBOÇO, SELADOR E PINTURA TEXTURIZADA ACRÍLICA - INCLUSO TERRA VEGETAL</v>
      </c>
      <c r="D38" s="458" t="s">
        <v>437</v>
      </c>
      <c r="E38" s="600">
        <f>'PAV.-3.-4.'!D97</f>
        <v>2</v>
      </c>
      <c r="F38" s="479">
        <f>'COMPOSIÇÕES NÃO DESONERADO'!J214</f>
        <v>1331.03</v>
      </c>
      <c r="G38" s="460">
        <f>ROUND((F38*$J$8),2)</f>
        <v>1663.79</v>
      </c>
      <c r="H38" s="479">
        <f>ROUND((E38*G38),2)</f>
        <v>3327.58</v>
      </c>
      <c r="I38" s="250">
        <f>H38/$H$159</f>
        <v>0.013178534653465348</v>
      </c>
      <c r="J38" s="415"/>
      <c r="K38" s="416"/>
      <c r="L38" s="413"/>
      <c r="M38" s="413"/>
      <c r="N38" s="413"/>
      <c r="O38" s="414"/>
      <c r="P38" s="414"/>
      <c r="Q38" s="414"/>
      <c r="R38" s="414"/>
      <c r="S38" s="414"/>
      <c r="T38" s="414"/>
    </row>
    <row r="39" spans="1:9" s="32" customFormat="1" ht="14.25">
      <c r="A39" s="259"/>
      <c r="B39" s="260"/>
      <c r="C39" s="423"/>
      <c r="D39" s="260"/>
      <c r="E39" s="260"/>
      <c r="F39" s="263" t="s">
        <v>121</v>
      </c>
      <c r="G39" s="258"/>
      <c r="H39" s="257">
        <f>ROUND(SUM(H27:H38),2)</f>
        <v>17974.49</v>
      </c>
      <c r="I39" s="407">
        <f>SUM(I29:I38)</f>
        <v>0.071186099009901</v>
      </c>
    </row>
    <row r="40" spans="1:9" s="42" customFormat="1" ht="14.25">
      <c r="A40" s="545"/>
      <c r="B40" s="546"/>
      <c r="C40" s="547"/>
      <c r="D40" s="546"/>
      <c r="E40" s="546"/>
      <c r="F40" s="471"/>
      <c r="G40" s="546"/>
      <c r="H40" s="548"/>
      <c r="I40" s="549"/>
    </row>
    <row r="41" spans="1:9" s="32" customFormat="1" ht="14.25">
      <c r="A41" s="565" t="s">
        <v>327</v>
      </c>
      <c r="B41" s="566"/>
      <c r="C41" s="570" t="s">
        <v>174</v>
      </c>
      <c r="D41" s="571"/>
      <c r="E41" s="572"/>
      <c r="F41" s="573"/>
      <c r="G41" s="574"/>
      <c r="H41" s="575"/>
      <c r="I41" s="576"/>
    </row>
    <row r="42" spans="1:9" s="32" customFormat="1" ht="14.25">
      <c r="A42" s="685" t="s">
        <v>137</v>
      </c>
      <c r="B42" s="686"/>
      <c r="C42" s="687" t="s">
        <v>187</v>
      </c>
      <c r="D42" s="688"/>
      <c r="E42" s="689"/>
      <c r="F42" s="690"/>
      <c r="G42" s="691"/>
      <c r="H42" s="691"/>
      <c r="I42" s="692"/>
    </row>
    <row r="43" spans="1:9" s="32" customFormat="1" ht="25.5">
      <c r="A43" s="598" t="s">
        <v>216</v>
      </c>
      <c r="B43" s="456">
        <v>96523</v>
      </c>
      <c r="C43" s="602" t="s">
        <v>188</v>
      </c>
      <c r="D43" s="593" t="s">
        <v>226</v>
      </c>
      <c r="E43" s="533">
        <f>'TERM.ROD.-5'!C34</f>
        <v>17.92</v>
      </c>
      <c r="F43" s="460">
        <f>$K$7*68.84</f>
        <v>63.566856</v>
      </c>
      <c r="G43" s="460">
        <f aca="true" t="shared" si="0" ref="G43:G44">ROUND((F43*$J$8),2)</f>
        <v>79.46</v>
      </c>
      <c r="H43" s="460">
        <f>ROUND((E43*G43),2)</f>
        <v>1423.92</v>
      </c>
      <c r="I43" s="250">
        <f>H43/$H$159</f>
        <v>0.005639287128712873</v>
      </c>
    </row>
    <row r="44" spans="1:9" s="32" customFormat="1" ht="14.25">
      <c r="A44" s="598" t="s">
        <v>217</v>
      </c>
      <c r="B44" s="456">
        <v>93382</v>
      </c>
      <c r="C44" s="602" t="s">
        <v>237</v>
      </c>
      <c r="D44" s="593" t="s">
        <v>226</v>
      </c>
      <c r="E44" s="533">
        <f>'TERM.ROD.-5'!C41</f>
        <v>6.880000000000003</v>
      </c>
      <c r="F44" s="460">
        <f>ROUND($K$7*22.54,2)</f>
        <v>20.81</v>
      </c>
      <c r="G44" s="460">
        <f t="shared" si="0"/>
        <v>26.01</v>
      </c>
      <c r="H44" s="460">
        <f>ROUND((E44*G44),2)</f>
        <v>178.95</v>
      </c>
      <c r="I44" s="250">
        <f>H44/$H$159</f>
        <v>0.0007087128712871287</v>
      </c>
    </row>
    <row r="45" spans="1:9" s="31" customFormat="1" ht="14.25">
      <c r="A45" s="666"/>
      <c r="B45" s="667"/>
      <c r="C45" s="668"/>
      <c r="D45" s="667"/>
      <c r="E45" s="669"/>
      <c r="F45" s="670" t="s">
        <v>352</v>
      </c>
      <c r="G45" s="671"/>
      <c r="H45" s="672">
        <f>SUM(H41:H44)</f>
        <v>1602.8700000000001</v>
      </c>
      <c r="I45" s="673"/>
    </row>
    <row r="46" spans="1:9" s="31" customFormat="1" ht="14.25">
      <c r="A46" s="685" t="s">
        <v>138</v>
      </c>
      <c r="B46" s="686"/>
      <c r="C46" s="687" t="s">
        <v>146</v>
      </c>
      <c r="D46" s="688"/>
      <c r="E46" s="689"/>
      <c r="F46" s="690"/>
      <c r="G46" s="691"/>
      <c r="H46" s="691"/>
      <c r="I46" s="692"/>
    </row>
    <row r="47" spans="1:9" s="32" customFormat="1" ht="25.5">
      <c r="A47" s="598" t="s">
        <v>218</v>
      </c>
      <c r="B47" s="456">
        <v>96616</v>
      </c>
      <c r="C47" s="599" t="s">
        <v>415</v>
      </c>
      <c r="D47" s="458" t="s">
        <v>226</v>
      </c>
      <c r="E47" s="600">
        <f>'TERM.ROD.-5'!C67</f>
        <v>1.1700000000000002</v>
      </c>
      <c r="F47" s="479">
        <f>$K$7*509.52</f>
        <v>470.490768</v>
      </c>
      <c r="G47" s="460">
        <f aca="true" t="shared" si="1" ref="G47:G54">ROUND((F47*$J$8),2)</f>
        <v>588.11</v>
      </c>
      <c r="H47" s="479">
        <f aca="true" t="shared" si="2" ref="H47:H54">ROUND((E47*G47),2)</f>
        <v>688.09</v>
      </c>
      <c r="I47" s="250">
        <f aca="true" t="shared" si="3" ref="I47:I54">H47/$H$159</f>
        <v>0.0027251089108910895</v>
      </c>
    </row>
    <row r="48" spans="1:9" s="32" customFormat="1" ht="25.5">
      <c r="A48" s="598" t="s">
        <v>219</v>
      </c>
      <c r="B48" s="485">
        <v>96536</v>
      </c>
      <c r="C48" s="599" t="s">
        <v>140</v>
      </c>
      <c r="D48" s="458" t="s">
        <v>63</v>
      </c>
      <c r="E48" s="600">
        <f>'TERM.ROD.-5'!C101</f>
        <v>76.89</v>
      </c>
      <c r="F48" s="479">
        <f>ROUND((49.52*75%),2)</f>
        <v>37.14</v>
      </c>
      <c r="G48" s="460">
        <f t="shared" si="1"/>
        <v>46.43</v>
      </c>
      <c r="H48" s="479">
        <f t="shared" si="2"/>
        <v>3570</v>
      </c>
      <c r="I48" s="250">
        <f t="shared" si="3"/>
        <v>0.01413861386138614</v>
      </c>
    </row>
    <row r="49" spans="1:9" s="32" customFormat="1" ht="29.25" customHeight="1">
      <c r="A49" s="598" t="s">
        <v>328</v>
      </c>
      <c r="B49" s="456" t="s">
        <v>303</v>
      </c>
      <c r="C49" s="464" t="s">
        <v>225</v>
      </c>
      <c r="D49" s="458" t="s">
        <v>226</v>
      </c>
      <c r="E49" s="600">
        <f>'TERM.ROD.-5'!C138</f>
        <v>11.04</v>
      </c>
      <c r="F49" s="479">
        <f>$K$7*408.11</f>
        <v>376.848774</v>
      </c>
      <c r="G49" s="460">
        <f t="shared" si="1"/>
        <v>471.06</v>
      </c>
      <c r="H49" s="479">
        <f t="shared" si="2"/>
        <v>5200.5</v>
      </c>
      <c r="I49" s="250">
        <f t="shared" si="3"/>
        <v>0.0205960396039604</v>
      </c>
    </row>
    <row r="50" spans="1:9" s="32" customFormat="1" ht="38.25">
      <c r="A50" s="598" t="s">
        <v>329</v>
      </c>
      <c r="B50" s="456" t="s">
        <v>477</v>
      </c>
      <c r="C50" s="464" t="s">
        <v>195</v>
      </c>
      <c r="D50" s="458" t="s">
        <v>30</v>
      </c>
      <c r="E50" s="600">
        <f>'TERM.ROD.-5'!C145</f>
        <v>7.58</v>
      </c>
      <c r="F50" s="479">
        <f>$K$7*12.08</f>
        <v>11.154672</v>
      </c>
      <c r="G50" s="460">
        <f t="shared" si="1"/>
        <v>13.94</v>
      </c>
      <c r="H50" s="479">
        <f aca="true" t="shared" si="4" ref="H50">ROUND((E50*G50),2)</f>
        <v>105.67</v>
      </c>
      <c r="I50" s="250">
        <f t="shared" si="3"/>
        <v>0.00041849504950495055</v>
      </c>
    </row>
    <row r="51" spans="1:9" s="32" customFormat="1" ht="29.25" customHeight="1">
      <c r="A51" s="598" t="s">
        <v>370</v>
      </c>
      <c r="B51" s="456" t="s">
        <v>470</v>
      </c>
      <c r="C51" s="464" t="s">
        <v>471</v>
      </c>
      <c r="D51" s="458" t="s">
        <v>30</v>
      </c>
      <c r="E51" s="600">
        <f>'TERM.ROD.-5'!C152</f>
        <v>99.91</v>
      </c>
      <c r="F51" s="479">
        <f>ROUND($K$7*10.59,2)</f>
        <v>9.78</v>
      </c>
      <c r="G51" s="460">
        <f t="shared" si="1"/>
        <v>12.23</v>
      </c>
      <c r="H51" s="479">
        <f t="shared" si="2"/>
        <v>1221.9</v>
      </c>
      <c r="I51" s="250">
        <f t="shared" si="3"/>
        <v>0.0048392079207920805</v>
      </c>
    </row>
    <row r="52" spans="1:9" s="32" customFormat="1" ht="42.75" customHeight="1">
      <c r="A52" s="598" t="s">
        <v>473</v>
      </c>
      <c r="B52" s="456" t="s">
        <v>472</v>
      </c>
      <c r="C52" s="464" t="s">
        <v>196</v>
      </c>
      <c r="D52" s="458" t="s">
        <v>30</v>
      </c>
      <c r="E52" s="600">
        <f>'TERM.ROD.-5'!C159</f>
        <v>73.86</v>
      </c>
      <c r="F52" s="479">
        <f>$K$7*9.44</f>
        <v>8.716896</v>
      </c>
      <c r="G52" s="460">
        <f t="shared" si="1"/>
        <v>10.9</v>
      </c>
      <c r="H52" s="479">
        <f t="shared" si="2"/>
        <v>805.07</v>
      </c>
      <c r="I52" s="250">
        <f t="shared" si="3"/>
        <v>0.0031883960396039608</v>
      </c>
    </row>
    <row r="53" spans="1:9" s="32" customFormat="1" ht="29.25" customHeight="1">
      <c r="A53" s="598" t="s">
        <v>474</v>
      </c>
      <c r="B53" s="456" t="s">
        <v>302</v>
      </c>
      <c r="C53" s="464" t="s">
        <v>313</v>
      </c>
      <c r="D53" s="458" t="s">
        <v>30</v>
      </c>
      <c r="E53" s="600">
        <f>'TERM.ROD.-5'!C166</f>
        <v>271.52</v>
      </c>
      <c r="F53" s="479">
        <f>$K$7*8.2</f>
        <v>7.571879999999999</v>
      </c>
      <c r="G53" s="460">
        <f t="shared" si="1"/>
        <v>9.46</v>
      </c>
      <c r="H53" s="479">
        <f t="shared" si="2"/>
        <v>2568.58</v>
      </c>
      <c r="I53" s="250">
        <f t="shared" si="3"/>
        <v>0.010172594059405942</v>
      </c>
    </row>
    <row r="54" spans="1:9" s="32" customFormat="1" ht="25.5">
      <c r="A54" s="598" t="s">
        <v>475</v>
      </c>
      <c r="B54" s="456" t="s">
        <v>764</v>
      </c>
      <c r="C54" s="599" t="s">
        <v>765</v>
      </c>
      <c r="D54" s="458" t="s">
        <v>63</v>
      </c>
      <c r="E54" s="600">
        <f>'TERM.ROD.-5'!C211</f>
        <v>118.74000000000001</v>
      </c>
      <c r="F54" s="479">
        <f>ROUND((30.33*75%),2)</f>
        <v>22.75</v>
      </c>
      <c r="G54" s="460">
        <f t="shared" si="1"/>
        <v>28.44</v>
      </c>
      <c r="H54" s="479">
        <f t="shared" si="2"/>
        <v>3376.97</v>
      </c>
      <c r="I54" s="250">
        <f t="shared" si="3"/>
        <v>0.013374138613861386</v>
      </c>
    </row>
    <row r="55" spans="1:9" s="31" customFormat="1" ht="14.25">
      <c r="A55" s="666"/>
      <c r="B55" s="667"/>
      <c r="C55" s="668"/>
      <c r="D55" s="667"/>
      <c r="E55" s="669"/>
      <c r="F55" s="670" t="s">
        <v>353</v>
      </c>
      <c r="G55" s="671"/>
      <c r="H55" s="672">
        <f>SUM(H46:H54)</f>
        <v>17536.78</v>
      </c>
      <c r="I55" s="673"/>
    </row>
    <row r="56" spans="1:9" s="32" customFormat="1" ht="14.25">
      <c r="A56" s="685" t="s">
        <v>206</v>
      </c>
      <c r="B56" s="686"/>
      <c r="C56" s="687" t="s">
        <v>147</v>
      </c>
      <c r="D56" s="688"/>
      <c r="E56" s="689"/>
      <c r="F56" s="690"/>
      <c r="G56" s="691"/>
      <c r="H56" s="691"/>
      <c r="I56" s="692"/>
    </row>
    <row r="57" spans="1:9" s="32" customFormat="1" ht="14.25">
      <c r="A57" s="578" t="s">
        <v>208</v>
      </c>
      <c r="B57" s="579"/>
      <c r="C57" s="580" t="s">
        <v>109</v>
      </c>
      <c r="D57" s="564"/>
      <c r="E57" s="581"/>
      <c r="F57" s="582"/>
      <c r="G57" s="583"/>
      <c r="H57" s="583"/>
      <c r="I57" s="584"/>
    </row>
    <row r="58" spans="1:9" s="32" customFormat="1" ht="51">
      <c r="A58" s="598" t="s">
        <v>257</v>
      </c>
      <c r="B58" s="456" t="s">
        <v>758</v>
      </c>
      <c r="C58" s="599" t="s">
        <v>759</v>
      </c>
      <c r="D58" s="458" t="s">
        <v>63</v>
      </c>
      <c r="E58" s="600">
        <f>'TERM.ROD.-5'!C226</f>
        <v>53.879999999999995</v>
      </c>
      <c r="F58" s="479">
        <f>ROUND($K$7*43.94,2)</f>
        <v>40.57</v>
      </c>
      <c r="G58" s="460">
        <f>ROUND((F58*$J$8),2)</f>
        <v>50.71</v>
      </c>
      <c r="H58" s="479">
        <f>ROUND((E58*G58),2)</f>
        <v>2732.25</v>
      </c>
      <c r="I58" s="250">
        <f>H58/$H$159</f>
        <v>0.010820792079207922</v>
      </c>
    </row>
    <row r="59" spans="1:9" s="32" customFormat="1" ht="25.5">
      <c r="A59" s="598" t="s">
        <v>258</v>
      </c>
      <c r="B59" s="456" t="s">
        <v>303</v>
      </c>
      <c r="C59" s="599" t="s">
        <v>225</v>
      </c>
      <c r="D59" s="458" t="s">
        <v>226</v>
      </c>
      <c r="E59" s="600">
        <f>'TERM.ROD.-5'!C238</f>
        <v>3.1</v>
      </c>
      <c r="F59" s="479">
        <f>$K$7*408.11</f>
        <v>376.848774</v>
      </c>
      <c r="G59" s="460">
        <f>ROUND((F59*$J$8),2)</f>
        <v>471.06</v>
      </c>
      <c r="H59" s="479">
        <f>ROUND((E59*G59),2)</f>
        <v>1460.29</v>
      </c>
      <c r="I59" s="250">
        <f>H59/$H$159</f>
        <v>0.005783326732673268</v>
      </c>
    </row>
    <row r="60" spans="1:9" s="32" customFormat="1" ht="38.25">
      <c r="A60" s="598" t="s">
        <v>480</v>
      </c>
      <c r="B60" s="456" t="s">
        <v>477</v>
      </c>
      <c r="C60" s="464" t="s">
        <v>195</v>
      </c>
      <c r="D60" s="458" t="s">
        <v>30</v>
      </c>
      <c r="E60" s="600">
        <f>'TERM.ROD.-5'!C242</f>
        <v>50.66</v>
      </c>
      <c r="F60" s="479">
        <f>$K$7*12.08</f>
        <v>11.154672</v>
      </c>
      <c r="G60" s="460">
        <f aca="true" t="shared" si="5" ref="G60:G62">ROUND((F60*$J$8),2)</f>
        <v>13.94</v>
      </c>
      <c r="H60" s="479">
        <f aca="true" t="shared" si="6" ref="H60:H62">ROUND((E60*G60),2)</f>
        <v>706.2</v>
      </c>
      <c r="I60" s="250">
        <f>H60/$H$159</f>
        <v>0.0027968316831683175</v>
      </c>
    </row>
    <row r="61" spans="1:9" s="32" customFormat="1" ht="42.75" customHeight="1">
      <c r="A61" s="598" t="s">
        <v>481</v>
      </c>
      <c r="B61" s="456" t="s">
        <v>472</v>
      </c>
      <c r="C61" s="464" t="s">
        <v>196</v>
      </c>
      <c r="D61" s="458" t="s">
        <v>30</v>
      </c>
      <c r="E61" s="600">
        <f>'TERM.ROD.-5'!C246</f>
        <v>16.12</v>
      </c>
      <c r="F61" s="479">
        <f>$K$7*9.44</f>
        <v>8.716896</v>
      </c>
      <c r="G61" s="460">
        <f t="shared" si="5"/>
        <v>10.9</v>
      </c>
      <c r="H61" s="479">
        <f t="shared" si="6"/>
        <v>175.71</v>
      </c>
      <c r="I61" s="250">
        <f>H61/$H$159</f>
        <v>0.000695881188118812</v>
      </c>
    </row>
    <row r="62" spans="1:9" s="32" customFormat="1" ht="29.25" customHeight="1">
      <c r="A62" s="598" t="s">
        <v>482</v>
      </c>
      <c r="B62" s="456" t="s">
        <v>302</v>
      </c>
      <c r="C62" s="464" t="s">
        <v>313</v>
      </c>
      <c r="D62" s="458" t="s">
        <v>30</v>
      </c>
      <c r="E62" s="600">
        <f>'TERM.ROD.-5'!C250</f>
        <v>252.27</v>
      </c>
      <c r="F62" s="479">
        <f>$K$7*8.2</f>
        <v>7.571879999999999</v>
      </c>
      <c r="G62" s="460">
        <f t="shared" si="5"/>
        <v>9.46</v>
      </c>
      <c r="H62" s="479">
        <f t="shared" si="6"/>
        <v>2386.47</v>
      </c>
      <c r="I62" s="250">
        <f>H62/$H$159</f>
        <v>0.009451366336633663</v>
      </c>
    </row>
    <row r="63" spans="1:9" s="31" customFormat="1" ht="14.25">
      <c r="A63" s="578" t="s">
        <v>209</v>
      </c>
      <c r="B63" s="579"/>
      <c r="C63" s="580" t="s">
        <v>148</v>
      </c>
      <c r="D63" s="564"/>
      <c r="E63" s="581"/>
      <c r="F63" s="582"/>
      <c r="G63" s="583"/>
      <c r="H63" s="583"/>
      <c r="I63" s="584"/>
    </row>
    <row r="64" spans="1:9" s="32" customFormat="1" ht="38.25">
      <c r="A64" s="598" t="s">
        <v>259</v>
      </c>
      <c r="B64" s="456">
        <v>92479</v>
      </c>
      <c r="C64" s="599" t="s">
        <v>760</v>
      </c>
      <c r="D64" s="458" t="s">
        <v>63</v>
      </c>
      <c r="E64" s="600">
        <f>'TERM.ROD.-5'!C270</f>
        <v>67.18999999999998</v>
      </c>
      <c r="F64" s="479">
        <f>$K$7*43.05</f>
        <v>39.75237</v>
      </c>
      <c r="G64" s="460">
        <f>ROUND((F64*$J$8),2)</f>
        <v>49.69</v>
      </c>
      <c r="H64" s="479">
        <f>ROUND((E64*G64),2)</f>
        <v>3338.67</v>
      </c>
      <c r="I64" s="250">
        <f aca="true" t="shared" si="7" ref="I64:I70">H64/$H$159</f>
        <v>0.013222455445544557</v>
      </c>
    </row>
    <row r="65" spans="1:9" s="32" customFormat="1" ht="25.5">
      <c r="A65" s="598" t="s">
        <v>260</v>
      </c>
      <c r="B65" s="456" t="s">
        <v>303</v>
      </c>
      <c r="C65" s="599" t="s">
        <v>225</v>
      </c>
      <c r="D65" s="458" t="s">
        <v>226</v>
      </c>
      <c r="E65" s="600">
        <f>'TERM.ROD.-5'!C282</f>
        <v>5.409999999999999</v>
      </c>
      <c r="F65" s="479">
        <f>$K$7*408.11</f>
        <v>376.848774</v>
      </c>
      <c r="G65" s="460">
        <f>ROUND((F65*$J$8),2)</f>
        <v>471.06</v>
      </c>
      <c r="H65" s="479">
        <f>ROUND((E65*G65),2)</f>
        <v>2548.43</v>
      </c>
      <c r="I65" s="250">
        <f t="shared" si="7"/>
        <v>0.010092792079207921</v>
      </c>
    </row>
    <row r="66" spans="1:9" s="32" customFormat="1" ht="38.25">
      <c r="A66" s="598" t="s">
        <v>494</v>
      </c>
      <c r="B66" s="456" t="s">
        <v>477</v>
      </c>
      <c r="C66" s="464" t="s">
        <v>195</v>
      </c>
      <c r="D66" s="458" t="s">
        <v>30</v>
      </c>
      <c r="E66" s="600">
        <f>'TERM.ROD.-5'!C286</f>
        <v>7.58</v>
      </c>
      <c r="F66" s="479">
        <f>$K$7*12.08</f>
        <v>11.154672</v>
      </c>
      <c r="G66" s="460">
        <f aca="true" t="shared" si="8" ref="G66:G70">ROUND((F66*$J$8),2)</f>
        <v>13.94</v>
      </c>
      <c r="H66" s="479">
        <f aca="true" t="shared" si="9" ref="H66:H69">ROUND((E66*G66),2)</f>
        <v>105.67</v>
      </c>
      <c r="I66" s="250">
        <f t="shared" si="7"/>
        <v>0.00041849504950495055</v>
      </c>
    </row>
    <row r="67" spans="1:9" s="32" customFormat="1" ht="29.25" customHeight="1">
      <c r="A67" s="598" t="s">
        <v>495</v>
      </c>
      <c r="B67" s="456" t="s">
        <v>470</v>
      </c>
      <c r="C67" s="464" t="s">
        <v>471</v>
      </c>
      <c r="D67" s="458" t="s">
        <v>30</v>
      </c>
      <c r="E67" s="600">
        <f>'TERM.ROD.-5'!C290</f>
        <v>95.2</v>
      </c>
      <c r="F67" s="479">
        <f>ROUND($K$7*10.59,2)</f>
        <v>9.78</v>
      </c>
      <c r="G67" s="460">
        <f t="shared" si="8"/>
        <v>12.23</v>
      </c>
      <c r="H67" s="479">
        <f t="shared" si="9"/>
        <v>1164.3</v>
      </c>
      <c r="I67" s="250">
        <f t="shared" si="7"/>
        <v>0.004611089108910891</v>
      </c>
    </row>
    <row r="68" spans="1:9" s="32" customFormat="1" ht="42.75" customHeight="1">
      <c r="A68" s="598" t="s">
        <v>496</v>
      </c>
      <c r="B68" s="456" t="s">
        <v>472</v>
      </c>
      <c r="C68" s="464" t="s">
        <v>196</v>
      </c>
      <c r="D68" s="458" t="s">
        <v>30</v>
      </c>
      <c r="E68" s="600">
        <f>'TERM.ROD.-5'!C294</f>
        <v>68.23</v>
      </c>
      <c r="F68" s="479">
        <f>$K$7*9.44</f>
        <v>8.716896</v>
      </c>
      <c r="G68" s="460">
        <f t="shared" si="8"/>
        <v>10.9</v>
      </c>
      <c r="H68" s="479">
        <f t="shared" si="9"/>
        <v>743.71</v>
      </c>
      <c r="I68" s="250">
        <f t="shared" si="7"/>
        <v>0.002945386138613862</v>
      </c>
    </row>
    <row r="69" spans="1:9" s="32" customFormat="1" ht="29.25" customHeight="1">
      <c r="A69" s="598" t="s">
        <v>497</v>
      </c>
      <c r="B69" s="456" t="s">
        <v>302</v>
      </c>
      <c r="C69" s="464" t="s">
        <v>313</v>
      </c>
      <c r="D69" s="458" t="s">
        <v>30</v>
      </c>
      <c r="E69" s="600">
        <f>'TERM.ROD.-5'!C298</f>
        <v>72.65</v>
      </c>
      <c r="F69" s="479">
        <f>$K$7*8.2</f>
        <v>7.571879999999999</v>
      </c>
      <c r="G69" s="460">
        <f t="shared" si="8"/>
        <v>9.46</v>
      </c>
      <c r="H69" s="479">
        <f t="shared" si="9"/>
        <v>687.27</v>
      </c>
      <c r="I69" s="250">
        <f t="shared" si="7"/>
        <v>0.002721861386138614</v>
      </c>
    </row>
    <row r="70" spans="1:9" s="32" customFormat="1" ht="38.25">
      <c r="A70" s="598" t="s">
        <v>497</v>
      </c>
      <c r="B70" s="456" t="s">
        <v>502</v>
      </c>
      <c r="C70" s="464" t="s">
        <v>503</v>
      </c>
      <c r="D70" s="458" t="s">
        <v>30</v>
      </c>
      <c r="E70" s="600">
        <f>'TERM.ROD.-5'!C302</f>
        <v>46.22</v>
      </c>
      <c r="F70" s="479">
        <f>ROUND($K$7*6.69,2)</f>
        <v>6.18</v>
      </c>
      <c r="G70" s="460">
        <f t="shared" si="8"/>
        <v>7.73</v>
      </c>
      <c r="H70" s="479">
        <f aca="true" t="shared" si="10" ref="H70">ROUND((E70*G70),2)</f>
        <v>357.28</v>
      </c>
      <c r="I70" s="250">
        <f t="shared" si="7"/>
        <v>0.0014149702970297031</v>
      </c>
    </row>
    <row r="71" spans="1:9" s="31" customFormat="1" ht="14.25">
      <c r="A71" s="666"/>
      <c r="B71" s="667"/>
      <c r="C71" s="668"/>
      <c r="D71" s="667"/>
      <c r="E71" s="669"/>
      <c r="F71" s="670" t="s">
        <v>354</v>
      </c>
      <c r="G71" s="671"/>
      <c r="H71" s="672">
        <f>SUM(H57:H70)</f>
        <v>16406.25</v>
      </c>
      <c r="I71" s="673"/>
    </row>
    <row r="72" spans="1:9" s="32" customFormat="1" ht="14.25">
      <c r="A72" s="685" t="s">
        <v>220</v>
      </c>
      <c r="B72" s="686"/>
      <c r="C72" s="687" t="s">
        <v>267</v>
      </c>
      <c r="D72" s="688"/>
      <c r="E72" s="689"/>
      <c r="F72" s="690"/>
      <c r="G72" s="691"/>
      <c r="H72" s="691"/>
      <c r="I72" s="692"/>
    </row>
    <row r="73" spans="1:9" s="32" customFormat="1" ht="38.25">
      <c r="A73" s="598" t="s">
        <v>207</v>
      </c>
      <c r="B73" s="456" t="s">
        <v>278</v>
      </c>
      <c r="C73" s="599" t="s">
        <v>279</v>
      </c>
      <c r="D73" s="458" t="s">
        <v>63</v>
      </c>
      <c r="E73" s="600">
        <f>'TERM.ROD.-5'!C314</f>
        <v>9.870000000000001</v>
      </c>
      <c r="F73" s="479">
        <f>$K$7*86.63</f>
        <v>79.994142</v>
      </c>
      <c r="G73" s="460">
        <f>ROUND((F73*$J$8),2)</f>
        <v>99.99</v>
      </c>
      <c r="H73" s="479">
        <f>ROUND((E73*G73),2)</f>
        <v>986.9</v>
      </c>
      <c r="I73" s="250">
        <f>H73/$H$159</f>
        <v>0.003908514851485149</v>
      </c>
    </row>
    <row r="74" spans="1:9" s="32" customFormat="1" ht="14.25">
      <c r="A74" s="545"/>
      <c r="B74" s="546"/>
      <c r="C74" s="547"/>
      <c r="D74" s="546"/>
      <c r="E74" s="663"/>
      <c r="F74" s="664" t="s">
        <v>355</v>
      </c>
      <c r="G74" s="665"/>
      <c r="H74" s="246">
        <f>SUM(H72:H73)</f>
        <v>986.9</v>
      </c>
      <c r="I74" s="250"/>
    </row>
    <row r="75" spans="1:9" s="32" customFormat="1" ht="14.25">
      <c r="A75" s="685" t="s">
        <v>330</v>
      </c>
      <c r="B75" s="686"/>
      <c r="C75" s="687" t="s">
        <v>537</v>
      </c>
      <c r="D75" s="688"/>
      <c r="E75" s="689"/>
      <c r="F75" s="690"/>
      <c r="G75" s="691"/>
      <c r="H75" s="691"/>
      <c r="I75" s="692"/>
    </row>
    <row r="76" spans="1:9" s="32" customFormat="1" ht="14.25">
      <c r="A76" s="578" t="s">
        <v>331</v>
      </c>
      <c r="B76" s="579"/>
      <c r="C76" s="580" t="s">
        <v>536</v>
      </c>
      <c r="D76" s="564"/>
      <c r="E76" s="581"/>
      <c r="F76" s="582"/>
      <c r="G76" s="583"/>
      <c r="H76" s="583"/>
      <c r="I76" s="584"/>
    </row>
    <row r="77" spans="1:9" s="32" customFormat="1" ht="80.25" customHeight="1">
      <c r="A77" s="598" t="s">
        <v>504</v>
      </c>
      <c r="B77" s="456" t="str">
        <f>'COMPOSIÇÕES NÃO DESONERADO'!A96</f>
        <v>COMPOSIÇÃO 07</v>
      </c>
      <c r="C77" s="706" t="str">
        <f>'COMPOSIÇÕES NÃO DESONERADO'!A97</f>
        <v>PILAR, PARA SUPORTE DA COBERTURA EMBARQUE/DESEMBARQUE, METALICO CIRCULAR Ø30CM, COM 4 PROLONGAMENTOS METALICOS(PILARES) DE Ø10CM E Ø6CM, FIXADO POR CHUMBADORES EM BLOCO DE CONCRETO ESTRUTURAL, COM PINTURA ANTICORROSIVA TIPO ZACÃO E ACABAMENTO EM PINTURA ESMALTE - FORNECIMENTO E INSTALAÇÃO</v>
      </c>
      <c r="D77" s="458" t="s">
        <v>91</v>
      </c>
      <c r="E77" s="600">
        <f>'TERM.ROD.-5'!C320</f>
        <v>4</v>
      </c>
      <c r="F77" s="479">
        <f>'COMPOSIÇÕES NÃO DESONERADO'!J122</f>
        <v>5363.25</v>
      </c>
      <c r="G77" s="460">
        <f>ROUND((F77*$J$8),2)</f>
        <v>6704.06</v>
      </c>
      <c r="H77" s="479">
        <f>ROUND((E77*G77),2)</f>
        <v>26816.24</v>
      </c>
      <c r="I77" s="250">
        <f>H77/$H$159</f>
        <v>0.10620293069306933</v>
      </c>
    </row>
    <row r="78" spans="1:9" s="32" customFormat="1" ht="14.25">
      <c r="A78" s="578" t="s">
        <v>331</v>
      </c>
      <c r="B78" s="579"/>
      <c r="C78" s="580" t="s">
        <v>564</v>
      </c>
      <c r="D78" s="564"/>
      <c r="E78" s="581"/>
      <c r="F78" s="582"/>
      <c r="G78" s="583"/>
      <c r="H78" s="583"/>
      <c r="I78" s="584"/>
    </row>
    <row r="79" spans="1:9" s="32" customFormat="1" ht="53.25" customHeight="1">
      <c r="A79" s="598" t="s">
        <v>595</v>
      </c>
      <c r="B79" s="456" t="str">
        <f>'COMPOSIÇÕES NÃO DESONERADO'!A124</f>
        <v>COMPOSIÇÃO 08</v>
      </c>
      <c r="C79" s="599" t="str">
        <f>'COMPOSIÇÕES NÃO DESONERADO'!A125</f>
        <v>PILAR METALICO TUBULAR, DN 50MM, ESPESSURA 3,65MM, CHUMBADO EM BLOCO DE CONCRETO 20MPA NO PISO - INCLUSO MATERIAL PARA FIXAÇÃO DA VIGA E ACABAMENTO COM ZARCÃO E TINTA ESMALTE (DUAS DEMÃOS) - FONECIMENTO E INSTALAÇÃO</v>
      </c>
      <c r="D79" s="458" t="s">
        <v>91</v>
      </c>
      <c r="E79" s="600">
        <f>'TERM.ROD.-5'!C325</f>
        <v>14</v>
      </c>
      <c r="F79" s="479">
        <f>'COMPOSIÇÕES NÃO DESONERADO'!J144</f>
        <v>390.87000000000006</v>
      </c>
      <c r="G79" s="460">
        <f>ROUND((F79*$J$8),2)</f>
        <v>488.59</v>
      </c>
      <c r="H79" s="479">
        <f>ROUND((E79*G79),2)</f>
        <v>6840.26</v>
      </c>
      <c r="I79" s="250">
        <f>H79/$H$159</f>
        <v>0.02709013861386139</v>
      </c>
    </row>
    <row r="80" spans="1:9" s="32" customFormat="1" ht="51">
      <c r="A80" s="598" t="s">
        <v>596</v>
      </c>
      <c r="B80" s="456">
        <v>100763</v>
      </c>
      <c r="C80" s="599" t="s">
        <v>592</v>
      </c>
      <c r="D80" s="458" t="s">
        <v>64</v>
      </c>
      <c r="E80" s="600">
        <f>'TERM.ROD.-5'!C332</f>
        <v>220.47</v>
      </c>
      <c r="F80" s="479">
        <f>$K$7*9.61</f>
        <v>8.873873999999999</v>
      </c>
      <c r="G80" s="460">
        <f>ROUND((F80*$J$8),2)</f>
        <v>11.09</v>
      </c>
      <c r="H80" s="479">
        <f>ROUND((E80*G80),2)</f>
        <v>2445.01</v>
      </c>
      <c r="I80" s="250">
        <f>H80/$H$159</f>
        <v>0.00968320792079208</v>
      </c>
    </row>
    <row r="81" spans="1:9" s="32" customFormat="1" ht="14.25">
      <c r="A81" s="545"/>
      <c r="B81" s="546"/>
      <c r="C81" s="547"/>
      <c r="D81" s="546"/>
      <c r="E81" s="663"/>
      <c r="F81" s="664" t="s">
        <v>356</v>
      </c>
      <c r="G81" s="665"/>
      <c r="H81" s="246">
        <f>SUM(H75:H80)</f>
        <v>36101.51</v>
      </c>
      <c r="I81" s="250"/>
    </row>
    <row r="82" spans="1:9" s="32" customFormat="1" ht="14.25">
      <c r="A82" s="685" t="s">
        <v>332</v>
      </c>
      <c r="B82" s="686"/>
      <c r="C82" s="687" t="s">
        <v>151</v>
      </c>
      <c r="D82" s="688"/>
      <c r="E82" s="689"/>
      <c r="F82" s="690"/>
      <c r="G82" s="691"/>
      <c r="H82" s="691"/>
      <c r="I82" s="692"/>
    </row>
    <row r="83" spans="1:9" s="32" customFormat="1" ht="14.25">
      <c r="A83" s="578" t="s">
        <v>333</v>
      </c>
      <c r="B83" s="579"/>
      <c r="C83" s="580" t="s">
        <v>174</v>
      </c>
      <c r="D83" s="564"/>
      <c r="E83" s="581"/>
      <c r="F83" s="582"/>
      <c r="G83" s="583"/>
      <c r="H83" s="583"/>
      <c r="I83" s="584"/>
    </row>
    <row r="84" spans="1:9" s="32" customFormat="1" ht="41.25" customHeight="1">
      <c r="A84" s="598" t="s">
        <v>548</v>
      </c>
      <c r="B84" s="456" t="str">
        <f>'COMPOSIÇÕES NÃO DESONERADO'!A64</f>
        <v>COMPOSIÇÃO 05</v>
      </c>
      <c r="C84" s="599" t="str">
        <f>'COMPOSIÇÕES NÃO DESONERADO'!A65</f>
        <v>TESOURA INTEIRA DE AÇO, SOBRE VIGA, DUAS ÁGUAS, 12,4M, COM TRELIÇAS COMPOSTAS POR PERFIL "U" 150x50x4,75MM E CANTONEIRAS 1.1/4"x4,76MM - FORNECIMENTO E INSTALAÇÃO (CONFORME PROJETO)</v>
      </c>
      <c r="D84" s="458" t="s">
        <v>91</v>
      </c>
      <c r="E84" s="600">
        <f>'TERM.ROD.-5'!C339</f>
        <v>2</v>
      </c>
      <c r="F84" s="479">
        <f>'COMPOSIÇÕES NÃO DESONERADO'!J77</f>
        <v>2602.4399999999996</v>
      </c>
      <c r="G84" s="460">
        <f aca="true" t="shared" si="11" ref="G84:G89">ROUND((F84*$J$8),2)</f>
        <v>3253.05</v>
      </c>
      <c r="H84" s="479">
        <f aca="true" t="shared" si="12" ref="H84:H89">ROUND((E84*G84),2)</f>
        <v>6506.1</v>
      </c>
      <c r="I84" s="250">
        <f aca="true" t="shared" si="13" ref="I84:I89">H84/$H$159</f>
        <v>0.02576673267326733</v>
      </c>
    </row>
    <row r="85" spans="1:9" s="32" customFormat="1" ht="53.25" customHeight="1">
      <c r="A85" s="598" t="s">
        <v>548</v>
      </c>
      <c r="B85" s="456" t="str">
        <f>'COMPOSIÇÕES NÃO DESONERADO'!A79</f>
        <v>COMPOSIÇÃO 06</v>
      </c>
      <c r="C85" s="599" t="str">
        <f>'COMPOSIÇÕES NÃO DESONERADO'!A80</f>
        <v>TESOURA INTEIRA DE AÇO, SOBRE PILAR COM AUXILIO DE CANTONEIRAS EM CHAPA DE AÇO, DUAS ÁGUAS 12,4M, COMTRELIÇAS COMPOSTAS POR PERFIL U 150x50x4,75MM E CANTONEIRAS 1.1/4"x4,76MM - FORNECIMENTO E INSTALAÇÃO (CONFORME PROJETO)</v>
      </c>
      <c r="D85" s="458" t="s">
        <v>91</v>
      </c>
      <c r="E85" s="600">
        <f>E84</f>
        <v>2</v>
      </c>
      <c r="F85" s="479">
        <f>'COMPOSIÇÕES NÃO DESONERADO'!J94</f>
        <v>2916.2999999999997</v>
      </c>
      <c r="G85" s="460">
        <f t="shared" si="11"/>
        <v>3645.38</v>
      </c>
      <c r="H85" s="479">
        <f t="shared" si="12"/>
        <v>7290.76</v>
      </c>
      <c r="I85" s="250">
        <f t="shared" si="13"/>
        <v>0.028874297029702973</v>
      </c>
    </row>
    <row r="86" spans="1:9" s="32" customFormat="1" ht="39" customHeight="1">
      <c r="A86" s="598" t="s">
        <v>549</v>
      </c>
      <c r="B86" s="456" t="str">
        <f>'COMPOSIÇÕES NÃO DESONERADO'!A216</f>
        <v>COMPOSIÇÃO 13</v>
      </c>
      <c r="C86" s="599" t="str">
        <f>'COMPOSIÇÕES NÃO DESONERADO'!A217</f>
        <v>TRAMA DE AÇO COMPOSTA POR 10 PEÇAS DE PERFIL "U" ENRIJECIDO DE 150x50x4,75MM (PARA TELHADO DE 190M² P/ TELHA DE ALUMÍNIO) - CONFORME PROJETO</v>
      </c>
      <c r="D86" s="458" t="s">
        <v>91</v>
      </c>
      <c r="E86" s="600">
        <f>'TERM.ROD.-5'!C343</f>
        <v>1</v>
      </c>
      <c r="F86" s="479">
        <f>'COMPOSIÇÕES NÃO DESONERADO'!J228</f>
        <v>7164.9000000000015</v>
      </c>
      <c r="G86" s="460">
        <f t="shared" si="11"/>
        <v>8956.13</v>
      </c>
      <c r="H86" s="479">
        <f t="shared" si="12"/>
        <v>8956.13</v>
      </c>
      <c r="I86" s="250">
        <f t="shared" si="13"/>
        <v>0.03546982178217822</v>
      </c>
    </row>
    <row r="87" spans="1:9" s="32" customFormat="1" ht="25.5">
      <c r="A87" s="598" t="s">
        <v>550</v>
      </c>
      <c r="B87" s="456">
        <v>94213</v>
      </c>
      <c r="C87" s="599" t="s">
        <v>238</v>
      </c>
      <c r="D87" s="458" t="s">
        <v>63</v>
      </c>
      <c r="E87" s="600">
        <f>'TERM.ROD.-5'!C350</f>
        <v>189.72</v>
      </c>
      <c r="F87" s="479">
        <f>$K$7*48.52</f>
        <v>44.803368000000006</v>
      </c>
      <c r="G87" s="460">
        <f t="shared" si="11"/>
        <v>56</v>
      </c>
      <c r="H87" s="479">
        <f t="shared" si="12"/>
        <v>10624.32</v>
      </c>
      <c r="I87" s="250">
        <f t="shared" si="13"/>
        <v>0.042076514851485156</v>
      </c>
    </row>
    <row r="88" spans="1:9" s="32" customFormat="1" ht="36" customHeight="1">
      <c r="A88" s="598" t="s">
        <v>576</v>
      </c>
      <c r="B88" s="456" t="str">
        <f>'COMPOSIÇÕES NÃO DESONERADO'!A255</f>
        <v>COMPOSIÇÃO 16</v>
      </c>
      <c r="C88" s="599" t="str">
        <f>'COMPOSIÇÕES NÃO DESONERADO'!A256</f>
        <v>CONTRTAVENTAMENTO COM PERFIL "U" SIMPLES 102x40,1x4,57MM, FIXADO COM PARAFURO SEXTAVADO 1/2" EM CHAPA DE AÇO 4,75MM.</v>
      </c>
      <c r="D88" s="458" t="s">
        <v>91</v>
      </c>
      <c r="E88" s="600">
        <f>'TERM.ROD.-5'!C354</f>
        <v>3</v>
      </c>
      <c r="F88" s="479">
        <f>'COMPOSIÇÕES NÃO DESONERADO'!J267</f>
        <v>1611.0300000000002</v>
      </c>
      <c r="G88" s="460">
        <f t="shared" si="11"/>
        <v>2013.79</v>
      </c>
      <c r="H88" s="479">
        <f t="shared" si="12"/>
        <v>6041.37</v>
      </c>
      <c r="I88" s="250">
        <f t="shared" si="13"/>
        <v>0.02392621782178218</v>
      </c>
    </row>
    <row r="89" spans="1:9" s="32" customFormat="1" ht="36" customHeight="1">
      <c r="A89" s="598" t="s">
        <v>590</v>
      </c>
      <c r="B89" s="456" t="str">
        <f>'COMPOSIÇÕES NÃO DESONERADO'!A269</f>
        <v>COMPOSIÇÃO 17</v>
      </c>
      <c r="C89" s="599" t="str">
        <f>'COMPOSIÇÕES NÃO DESONERADO'!A270</f>
        <v>LINHAS DE CORRENTE COM VERGALÃO DE 3/8" CA-25, COM ESTICADOR FORJADO GANCHO/OLHAL (ATE 92M DE EXTENSÃO) - FORNECIMENTO E INSTALAÇÃO</v>
      </c>
      <c r="D89" s="458" t="s">
        <v>587</v>
      </c>
      <c r="E89" s="600">
        <f>'TERM.ROD.-5'!C358</f>
        <v>1</v>
      </c>
      <c r="F89" s="479">
        <f>'COMPOSIÇÕES NÃO DESONERADO'!J279</f>
        <v>540.1399999999999</v>
      </c>
      <c r="G89" s="460">
        <f t="shared" si="11"/>
        <v>675.18</v>
      </c>
      <c r="H89" s="479">
        <f t="shared" si="12"/>
        <v>675.18</v>
      </c>
      <c r="I89" s="250">
        <f t="shared" si="13"/>
        <v>0.0026739801980198022</v>
      </c>
    </row>
    <row r="90" spans="1:9" s="32" customFormat="1" ht="14.25">
      <c r="A90" s="578" t="s">
        <v>551</v>
      </c>
      <c r="B90" s="579"/>
      <c r="C90" s="580" t="s">
        <v>394</v>
      </c>
      <c r="D90" s="564"/>
      <c r="E90" s="581"/>
      <c r="F90" s="582"/>
      <c r="G90" s="583"/>
      <c r="H90" s="583"/>
      <c r="I90" s="584"/>
    </row>
    <row r="91" spans="1:9" s="32" customFormat="1" ht="25.5">
      <c r="A91" s="598" t="s">
        <v>552</v>
      </c>
      <c r="B91" s="456">
        <v>94229</v>
      </c>
      <c r="C91" s="599" t="s">
        <v>291</v>
      </c>
      <c r="D91" s="458" t="s">
        <v>69</v>
      </c>
      <c r="E91" s="600">
        <f>'TERM.ROD.-5'!C366</f>
        <v>15.3</v>
      </c>
      <c r="F91" s="479">
        <f>$K$7*99.12</f>
        <v>91.52740800000001</v>
      </c>
      <c r="G91" s="460">
        <f>ROUND((F91*$J$8),2)</f>
        <v>114.41</v>
      </c>
      <c r="H91" s="479">
        <f>ROUND((E91*G91),2)</f>
        <v>1750.47</v>
      </c>
      <c r="I91" s="250">
        <f>H91/$H$159</f>
        <v>0.0069325544554455455</v>
      </c>
    </row>
    <row r="92" spans="1:9" s="32" customFormat="1" ht="25.5">
      <c r="A92" s="598" t="s">
        <v>553</v>
      </c>
      <c r="B92" s="456">
        <v>89580</v>
      </c>
      <c r="C92" s="599" t="s">
        <v>555</v>
      </c>
      <c r="D92" s="458" t="s">
        <v>69</v>
      </c>
      <c r="E92" s="600">
        <f>'TERM.ROD.-5'!C374</f>
        <v>19.95</v>
      </c>
      <c r="F92" s="479">
        <f>$K$7*50.51</f>
        <v>46.640934</v>
      </c>
      <c r="G92" s="460">
        <f>ROUND((F92*$J$8),2)</f>
        <v>58.3</v>
      </c>
      <c r="H92" s="479">
        <f>ROUND((E92*G92),2)</f>
        <v>1163.09</v>
      </c>
      <c r="I92" s="250">
        <f>H92/$H$159</f>
        <v>0.004606297029702971</v>
      </c>
    </row>
    <row r="93" spans="1:9" s="32" customFormat="1" ht="38.25">
      <c r="A93" s="598" t="s">
        <v>554</v>
      </c>
      <c r="B93" s="456" t="str">
        <f>'COMPOSIÇÕES NÃO DESONERADO'!A230</f>
        <v>COMPOSIÇÃO 14</v>
      </c>
      <c r="C93" s="599" t="str">
        <f>'COMPOSIÇÕES NÃO DESONERADO'!A231</f>
        <v>FIXAÇÃO DE CALHA METÁLICA E TUBULAÇÃO DE DESCIDA (VERTICAL E HORIZONTAL) EM PVC COM SUPORTES E BRAÇADEIRAS, INCLUSO PARAFUSOS - FORNECIMENTO E INSTAÇÃO</v>
      </c>
      <c r="D93" s="458" t="s">
        <v>91</v>
      </c>
      <c r="E93" s="600">
        <f>'TERM.ROD.-5'!C378</f>
        <v>1</v>
      </c>
      <c r="F93" s="479">
        <f>'COMPOSIÇÕES NÃO DESONERADO'!J238</f>
        <v>293.64000000000004</v>
      </c>
      <c r="G93" s="460">
        <f>ROUND((F93*$J$8),2)</f>
        <v>367.05</v>
      </c>
      <c r="H93" s="479">
        <f>ROUND((E93*G93),2)</f>
        <v>367.05</v>
      </c>
      <c r="I93" s="250">
        <f>H93/$H$159</f>
        <v>0.0014536633663366338</v>
      </c>
    </row>
    <row r="94" spans="1:9" s="32" customFormat="1" ht="14.25">
      <c r="A94" s="578" t="s">
        <v>577</v>
      </c>
      <c r="B94" s="579"/>
      <c r="C94" s="580" t="s">
        <v>536</v>
      </c>
      <c r="D94" s="564"/>
      <c r="E94" s="581"/>
      <c r="F94" s="582"/>
      <c r="G94" s="583"/>
      <c r="H94" s="583"/>
      <c r="I94" s="584"/>
    </row>
    <row r="95" spans="1:9" s="32" customFormat="1" ht="42.75" customHeight="1">
      <c r="A95" s="598" t="s">
        <v>578</v>
      </c>
      <c r="B95" s="456" t="str">
        <f>'COMPOSIÇÕES NÃO DESONERADO'!A240</f>
        <v>COMPOSIÇÃO 15</v>
      </c>
      <c r="C95" s="706" t="str">
        <f>'COMPOSIÇÕES NÃO DESONERADO'!A241</f>
        <v>TRAMA DE AÇO COMPOSTA POR PEÇAS DE PERFIL "U" SIMPLES DE 127x50x3MM E 75x40x2,65MM (PARA TELHADO DE 53M² P/ TELHA DE ALUMÍNIO) - CONFORME PROJETO</v>
      </c>
      <c r="D95" s="458" t="s">
        <v>91</v>
      </c>
      <c r="E95" s="600">
        <f>'TERM.ROD.-5'!C378</f>
        <v>1</v>
      </c>
      <c r="F95" s="479">
        <f>'COMPOSIÇÕES NÃO DESONERADO'!J253</f>
        <v>2699.9800000000005</v>
      </c>
      <c r="G95" s="460">
        <f>ROUND((F95*$J$8),2)</f>
        <v>3374.98</v>
      </c>
      <c r="H95" s="479">
        <f>ROUND((E95*G95),2)</f>
        <v>3374.98</v>
      </c>
      <c r="I95" s="250">
        <f>H95/$H$159</f>
        <v>0.013366257425742576</v>
      </c>
    </row>
    <row r="96" spans="1:9" s="32" customFormat="1" ht="25.5">
      <c r="A96" s="598" t="s">
        <v>579</v>
      </c>
      <c r="B96" s="456">
        <v>94213</v>
      </c>
      <c r="C96" s="599" t="s">
        <v>238</v>
      </c>
      <c r="D96" s="458" t="s">
        <v>63</v>
      </c>
      <c r="E96" s="600">
        <f>'TERM.ROD.-5'!C389</f>
        <v>52.79</v>
      </c>
      <c r="F96" s="479">
        <f>$K$7*48.52</f>
        <v>44.803368000000006</v>
      </c>
      <c r="G96" s="460">
        <f>ROUND((F96*$J$8),2)</f>
        <v>56</v>
      </c>
      <c r="H96" s="479">
        <f>ROUND((E96*G96),2)</f>
        <v>2956.24</v>
      </c>
      <c r="I96" s="250">
        <f>H96/$H$159</f>
        <v>0.011707881188118812</v>
      </c>
    </row>
    <row r="97" spans="1:9" s="32" customFormat="1" ht="40.5" customHeight="1">
      <c r="A97" s="598" t="s">
        <v>602</v>
      </c>
      <c r="B97" s="456" t="str">
        <f>'COMPOSIÇÕES NÃO DESONERADO'!A297</f>
        <v>COMPOSIÇÃO 19</v>
      </c>
      <c r="C97" s="599" t="str">
        <f>'COMPOSIÇÕES NÃO DESONERADO'!A298</f>
        <v>LINHAS DE CORRENTE COM VERGALÃO DE 3/8" CA-25, COM ESTICADOR FORJADO GANCHO/OLHAL (ATE 47M DE EXTENSÃO) - FORNECIMENTO E INSTALAÇÃO</v>
      </c>
      <c r="D97" s="458" t="s">
        <v>587</v>
      </c>
      <c r="E97" s="600">
        <f>'TERM.ROD.-5'!C393</f>
        <v>1</v>
      </c>
      <c r="F97" s="479">
        <f>'COMPOSIÇÕES NÃO DESONERADO'!J307</f>
        <v>372.53999999999996</v>
      </c>
      <c r="G97" s="460">
        <f>ROUND((F97*$J$8),2)</f>
        <v>465.68</v>
      </c>
      <c r="H97" s="479">
        <f>ROUND((E97*G97),2)</f>
        <v>465.68</v>
      </c>
      <c r="I97" s="250">
        <f>H97/$H$159</f>
        <v>0.0018442772277227726</v>
      </c>
    </row>
    <row r="98" spans="1:9" s="32" customFormat="1" ht="14.25">
      <c r="A98" s="578" t="s">
        <v>580</v>
      </c>
      <c r="B98" s="579"/>
      <c r="C98" s="580" t="s">
        <v>569</v>
      </c>
      <c r="D98" s="564"/>
      <c r="E98" s="581"/>
      <c r="F98" s="582"/>
      <c r="G98" s="583"/>
      <c r="H98" s="583"/>
      <c r="I98" s="584"/>
    </row>
    <row r="99" spans="1:9" s="32" customFormat="1" ht="47.25" customHeight="1">
      <c r="A99" s="598" t="s">
        <v>581</v>
      </c>
      <c r="B99" s="456" t="str">
        <f>'COMPOSIÇÕES NÃO DESONERADO'!A281</f>
        <v>COMPOSIÇÃO 18</v>
      </c>
      <c r="C99" s="599" t="str">
        <f>'COMPOSIÇÕES NÃO DESONERADO'!A282</f>
        <v>TRAMA DE AÇO COMPOSTA POR PEÇAS DE PERFIL "U" SIMPLES DE 127x50x3MM E 75x40x2,65MM ESTRUTURADA COM BARRA CHATA 1"x3/16" (PARA TELHADO DE 80M² P/ TELHA DE ALUMÍNIO) - CONFORME PROJETO</v>
      </c>
      <c r="D99" s="458" t="s">
        <v>91</v>
      </c>
      <c r="E99" s="600">
        <f>'TERM.ROD.-5'!C399</f>
        <v>1</v>
      </c>
      <c r="F99" s="479">
        <f>'COMPOSIÇÕES NÃO DESONERADO'!J295</f>
        <v>2908.8800000000006</v>
      </c>
      <c r="G99" s="460">
        <f>ROUND((F99*$J$8),2)</f>
        <v>3636.1</v>
      </c>
      <c r="H99" s="479">
        <f>ROUND((E99*G99),2)</f>
        <v>3636.1</v>
      </c>
      <c r="I99" s="250">
        <f>H99/$H$159</f>
        <v>0.014400396039603962</v>
      </c>
    </row>
    <row r="100" spans="1:9" s="32" customFormat="1" ht="25.5">
      <c r="A100" s="598" t="s">
        <v>582</v>
      </c>
      <c r="B100" s="456">
        <v>94213</v>
      </c>
      <c r="C100" s="599" t="s">
        <v>238</v>
      </c>
      <c r="D100" s="458" t="s">
        <v>63</v>
      </c>
      <c r="E100" s="600">
        <f>'TERM.ROD.-5'!C406</f>
        <v>80.1</v>
      </c>
      <c r="F100" s="479">
        <f>$K$7*48.52</f>
        <v>44.803368000000006</v>
      </c>
      <c r="G100" s="460">
        <f>ROUND((F100*$J$8),2)</f>
        <v>56</v>
      </c>
      <c r="H100" s="479">
        <f>ROUND((E100*G100),2)</f>
        <v>4485.6</v>
      </c>
      <c r="I100" s="250">
        <f>H100/$H$159</f>
        <v>0.017764752475247527</v>
      </c>
    </row>
    <row r="101" spans="1:9" s="32" customFormat="1" ht="40.5" customHeight="1">
      <c r="A101" s="598" t="s">
        <v>603</v>
      </c>
      <c r="B101" s="456" t="str">
        <f>'COMPOSIÇÕES NÃO DESONERADO'!A309</f>
        <v>COMPOSIÇÃO 20</v>
      </c>
      <c r="C101" s="599" t="str">
        <f>'COMPOSIÇÕES NÃO DESONERADO'!A310</f>
        <v>LINHAS DE CORRENTE COM VERGALÃO DE 3/8" CA-25, COM ESTICADOR FORJADO GANCHO/OLHAL (ATE 60M DE EXTENSÃO) - FORNECIMENTO E INSTALAÇÃO</v>
      </c>
      <c r="D101" s="458" t="s">
        <v>587</v>
      </c>
      <c r="E101" s="600">
        <f>'TERM.ROD.-5'!C410</f>
        <v>1</v>
      </c>
      <c r="F101" s="479">
        <f>'COMPOSIÇÕES NÃO DESONERADO'!J319</f>
        <v>421.04</v>
      </c>
      <c r="G101" s="460">
        <f>ROUND((F101*$J$8),2)</f>
        <v>526.3</v>
      </c>
      <c r="H101" s="479">
        <f>ROUND((E101*G101),2)</f>
        <v>526.3</v>
      </c>
      <c r="I101" s="250">
        <f>H101/$H$159</f>
        <v>0.0020843564356435645</v>
      </c>
    </row>
    <row r="102" spans="1:9" s="32" customFormat="1" ht="14.25">
      <c r="A102" s="545"/>
      <c r="B102" s="546"/>
      <c r="C102" s="547"/>
      <c r="D102" s="546"/>
      <c r="E102" s="663"/>
      <c r="F102" s="664" t="s">
        <v>357</v>
      </c>
      <c r="G102" s="665"/>
      <c r="H102" s="246">
        <f>SUM(H83:H101)</f>
        <v>58819.37</v>
      </c>
      <c r="I102" s="250"/>
    </row>
    <row r="103" spans="1:9" s="32" customFormat="1" ht="14.25">
      <c r="A103" s="685" t="s">
        <v>334</v>
      </c>
      <c r="B103" s="686"/>
      <c r="C103" s="687" t="s">
        <v>149</v>
      </c>
      <c r="D103" s="688"/>
      <c r="E103" s="689"/>
      <c r="F103" s="690"/>
      <c r="G103" s="691"/>
      <c r="H103" s="691"/>
      <c r="I103" s="692"/>
    </row>
    <row r="104" spans="1:9" s="32" customFormat="1" ht="38.25">
      <c r="A104" s="598" t="s">
        <v>335</v>
      </c>
      <c r="B104" s="456">
        <v>87503</v>
      </c>
      <c r="C104" s="599" t="s">
        <v>150</v>
      </c>
      <c r="D104" s="458" t="s">
        <v>63</v>
      </c>
      <c r="E104" s="600">
        <f>'TERM.ROD.-5'!C454</f>
        <v>68</v>
      </c>
      <c r="F104" s="479">
        <f>$K$7*57.74</f>
        <v>53.317116</v>
      </c>
      <c r="G104" s="460">
        <f>ROUND((F104*$J$8),2)</f>
        <v>66.65</v>
      </c>
      <c r="H104" s="479">
        <f>ROUND((E104*G104),2)</f>
        <v>4532.2</v>
      </c>
      <c r="I104" s="250">
        <f>H104/$H$159</f>
        <v>0.01794930693069307</v>
      </c>
    </row>
    <row r="105" spans="1:9" s="32" customFormat="1" ht="38.25">
      <c r="A105" s="598" t="s">
        <v>766</v>
      </c>
      <c r="B105" s="456" t="s">
        <v>698</v>
      </c>
      <c r="C105" s="706" t="s">
        <v>699</v>
      </c>
      <c r="D105" s="458" t="s">
        <v>239</v>
      </c>
      <c r="E105" s="600">
        <f>'TERM.ROD.-5'!C462</f>
        <v>3.15</v>
      </c>
      <c r="F105" s="479">
        <f>$K$7*408.2</f>
        <v>376.93188</v>
      </c>
      <c r="G105" s="460">
        <f>ROUND((F105*$J$8),2)</f>
        <v>471.16</v>
      </c>
      <c r="H105" s="479">
        <f>ROUND((E105*G105),2)</f>
        <v>1484.15</v>
      </c>
      <c r="I105" s="250">
        <f>H105/$H$159</f>
        <v>0.005877821782178219</v>
      </c>
    </row>
    <row r="106" spans="1:9" s="32" customFormat="1" ht="14.25">
      <c r="A106" s="545"/>
      <c r="B106" s="546"/>
      <c r="C106" s="547"/>
      <c r="D106" s="546"/>
      <c r="E106" s="663"/>
      <c r="F106" s="664" t="s">
        <v>358</v>
      </c>
      <c r="G106" s="665"/>
      <c r="H106" s="246">
        <f>SUM(H103:H105)</f>
        <v>6016.35</v>
      </c>
      <c r="I106" s="250"/>
    </row>
    <row r="107" spans="1:9" s="32" customFormat="1" ht="14.25">
      <c r="A107" s="685" t="s">
        <v>336</v>
      </c>
      <c r="B107" s="686"/>
      <c r="C107" s="687" t="s">
        <v>152</v>
      </c>
      <c r="D107" s="688"/>
      <c r="E107" s="689"/>
      <c r="F107" s="690"/>
      <c r="G107" s="691"/>
      <c r="H107" s="691" t="s">
        <v>505</v>
      </c>
      <c r="I107" s="692"/>
    </row>
    <row r="108" spans="1:9" s="32" customFormat="1" ht="38.25">
      <c r="A108" s="598" t="s">
        <v>337</v>
      </c>
      <c r="B108" s="456" t="s">
        <v>285</v>
      </c>
      <c r="C108" s="599" t="s">
        <v>286</v>
      </c>
      <c r="D108" s="458" t="s">
        <v>63</v>
      </c>
      <c r="E108" s="600">
        <f>'TERM.ROD.-5'!C489</f>
        <v>252.89</v>
      </c>
      <c r="F108" s="479">
        <f>ROUND($K$7*6.95,2)</f>
        <v>6.42</v>
      </c>
      <c r="G108" s="460">
        <f>ROUND((F108*$J$8),2)</f>
        <v>8.03</v>
      </c>
      <c r="H108" s="479">
        <f>ROUND((E108*G108),2)</f>
        <v>2030.71</v>
      </c>
      <c r="I108" s="250">
        <f>H108/$H$159</f>
        <v>0.008042415841584159</v>
      </c>
    </row>
    <row r="109" spans="1:9" s="32" customFormat="1" ht="51">
      <c r="A109" s="598" t="s">
        <v>338</v>
      </c>
      <c r="B109" s="456" t="s">
        <v>750</v>
      </c>
      <c r="C109" s="599" t="s">
        <v>751</v>
      </c>
      <c r="D109" s="458" t="s">
        <v>63</v>
      </c>
      <c r="E109" s="600">
        <f>'TERM.ROD.-5'!C493</f>
        <v>252.89</v>
      </c>
      <c r="F109" s="479">
        <f>ROUND($K$7*33.33,2)</f>
        <v>30.78</v>
      </c>
      <c r="G109" s="460">
        <f>ROUND((F109*$J$8),2)</f>
        <v>38.48</v>
      </c>
      <c r="H109" s="479">
        <f>ROUND((E109*G109),2)</f>
        <v>9731.21</v>
      </c>
      <c r="I109" s="250">
        <f>H109/$H$159</f>
        <v>0.038539445544554456</v>
      </c>
    </row>
    <row r="110" spans="1:9" s="32" customFormat="1" ht="14.25">
      <c r="A110" s="545"/>
      <c r="B110" s="546"/>
      <c r="C110" s="547"/>
      <c r="D110" s="546"/>
      <c r="E110" s="663"/>
      <c r="F110" s="664" t="s">
        <v>339</v>
      </c>
      <c r="G110" s="665"/>
      <c r="H110" s="246">
        <f>SUM(H107:H109)</f>
        <v>11761.919999999998</v>
      </c>
      <c r="I110" s="250"/>
    </row>
    <row r="111" spans="1:9" s="32" customFormat="1" ht="14.25">
      <c r="A111" s="685" t="s">
        <v>340</v>
      </c>
      <c r="B111" s="686"/>
      <c r="C111" s="687" t="s">
        <v>361</v>
      </c>
      <c r="D111" s="688"/>
      <c r="E111" s="689"/>
      <c r="F111" s="690"/>
      <c r="G111" s="691"/>
      <c r="H111" s="691"/>
      <c r="I111" s="692"/>
    </row>
    <row r="112" spans="1:9" s="32" customFormat="1" ht="38.25">
      <c r="A112" s="598" t="s">
        <v>341</v>
      </c>
      <c r="B112" s="456" t="str">
        <f>'COMPOSIÇÕES NÃO DESONERADO'!A328</f>
        <v>COMPOSIÇÃO 22</v>
      </c>
      <c r="C112" s="599" t="str">
        <f>'COMPOSIÇÕES NÃO DESONERADO'!A329</f>
        <v>ASSENTO DE CONCRETO 01, COM TIJOLO MACIÇO, ATERRO COMPACTADO, COMPRIMENTO 5,30M, ACABAMENTO COM SELANTE ACRÍLICO PARA CONCRETO APARENTE E PINTURA TEXTURIZADA ACRÍLICA NA ALVENARIA</v>
      </c>
      <c r="D112" s="458" t="s">
        <v>91</v>
      </c>
      <c r="E112" s="600">
        <f>'TERM.ROD.-5'!C502</f>
        <v>1</v>
      </c>
      <c r="F112" s="479">
        <f>'COMPOSIÇÕES NÃO DESONERADO'!J342</f>
        <v>929.21</v>
      </c>
      <c r="G112" s="460">
        <f>ROUND((F112*$J$8),2)</f>
        <v>1161.51</v>
      </c>
      <c r="H112" s="479">
        <f>ROUND((E112*G112),2)</f>
        <v>1161.51</v>
      </c>
      <c r="I112" s="250">
        <f>H112/$H$159</f>
        <v>0.004600039603960397</v>
      </c>
    </row>
    <row r="113" spans="1:9" s="32" customFormat="1" ht="38.25">
      <c r="A113" s="598" t="s">
        <v>342</v>
      </c>
      <c r="B113" s="456" t="str">
        <f>'COMPOSIÇÕES NÃO DESONERADO'!A344</f>
        <v>COMPOSIÇÃO 23</v>
      </c>
      <c r="C113" s="599" t="str">
        <f>'COMPOSIÇÕES NÃO DESONERADO'!A345</f>
        <v>ASSENTO DE CONCRETO 02, COM TIJOLO MACIÇO, ATERRO COMPACTADO, COMPRIMENTO 5,85M, ACABAMENTO COM SELANTE ACRÍLICO PARA CONCRETO APARENTE E PINTURA TEXTURIZADA ACRÍLICA NA ALVENARIA</v>
      </c>
      <c r="D113" s="458" t="s">
        <v>91</v>
      </c>
      <c r="E113" s="600">
        <f>'TERM.ROD.-5'!C502</f>
        <v>1</v>
      </c>
      <c r="F113" s="479">
        <f>'COMPOSIÇÕES NÃO DESONERADO'!J358</f>
        <v>1006.47</v>
      </c>
      <c r="G113" s="460">
        <f>ROUND((F113*$J$8),2)</f>
        <v>1258.09</v>
      </c>
      <c r="H113" s="479">
        <f>ROUND((E113*G113),2)</f>
        <v>1258.09</v>
      </c>
      <c r="I113" s="250">
        <f>H113/$H$159</f>
        <v>0.004982534653465347</v>
      </c>
    </row>
    <row r="114" spans="1:9" s="32" customFormat="1" ht="38.25">
      <c r="A114" s="598" t="s">
        <v>364</v>
      </c>
      <c r="B114" s="456" t="str">
        <f>'COMPOSIÇÕES NÃO DESONERADO'!A360</f>
        <v>COMPOSIÇÃO 24</v>
      </c>
      <c r="C114" s="599" t="str">
        <f>'COMPOSIÇÕES NÃO DESONERADO'!A361</f>
        <v>ASSENTO DE CONCRETO 03, COM TIJOLO MACIÇO, ATERRO COMPACTADO, COMPRIMENTO 5,15M, ACABAMENTO COM SELANTE ACRÍLICO PARA CONCRETO APARENTE E PINTURA TEXTURIZADA ACRÍLICA NA ALVENARIA</v>
      </c>
      <c r="D114" s="458" t="s">
        <v>91</v>
      </c>
      <c r="E114" s="600">
        <f>'TERM.ROD.-5'!C506</f>
        <v>1</v>
      </c>
      <c r="F114" s="479">
        <f>'COMPOSIÇÕES NÃO DESONERADO'!J374</f>
        <v>1143.2800000000002</v>
      </c>
      <c r="G114" s="460">
        <f>ROUND((F114*$J$8),2)</f>
        <v>1429.1</v>
      </c>
      <c r="H114" s="479">
        <f>ROUND((E114*G114),2)</f>
        <v>1429.1</v>
      </c>
      <c r="I114" s="250">
        <f>H114/$H$159</f>
        <v>0.00565980198019802</v>
      </c>
    </row>
    <row r="115" spans="1:9" s="32" customFormat="1" ht="14.25">
      <c r="A115" s="545"/>
      <c r="B115" s="546"/>
      <c r="C115" s="547"/>
      <c r="D115" s="546"/>
      <c r="E115" s="663"/>
      <c r="F115" s="664" t="s">
        <v>343</v>
      </c>
      <c r="G115" s="665"/>
      <c r="H115" s="246">
        <f>SUM(H111:H114)</f>
        <v>3848.7</v>
      </c>
      <c r="I115" s="250"/>
    </row>
    <row r="116" spans="1:9" s="32" customFormat="1" ht="14.25">
      <c r="A116" s="685" t="s">
        <v>344</v>
      </c>
      <c r="B116" s="686"/>
      <c r="C116" s="687" t="s">
        <v>153</v>
      </c>
      <c r="D116" s="688"/>
      <c r="E116" s="689"/>
      <c r="F116" s="690"/>
      <c r="G116" s="691"/>
      <c r="H116" s="691"/>
      <c r="I116" s="692"/>
    </row>
    <row r="117" spans="1:9" s="32" customFormat="1" ht="25.5">
      <c r="A117" s="458" t="s">
        <v>345</v>
      </c>
      <c r="B117" s="456">
        <v>95240</v>
      </c>
      <c r="C117" s="599" t="s">
        <v>668</v>
      </c>
      <c r="D117" s="458" t="s">
        <v>63</v>
      </c>
      <c r="E117" s="600">
        <f>'TERM.ROD.-5'!C515</f>
        <v>126.37</v>
      </c>
      <c r="F117" s="479">
        <f>ROUND($K$7*14.7,2)</f>
        <v>13.57</v>
      </c>
      <c r="G117" s="460">
        <f>ROUND((F117*$J$8),2)</f>
        <v>16.96</v>
      </c>
      <c r="H117" s="479">
        <f>ROUND((E117*G117),2)</f>
        <v>2143.24</v>
      </c>
      <c r="I117" s="250">
        <f>H117/$H$159</f>
        <v>0.008488079207920792</v>
      </c>
    </row>
    <row r="118" spans="1:9" s="32" customFormat="1" ht="38.25">
      <c r="A118" s="458" t="s">
        <v>369</v>
      </c>
      <c r="B118" s="456">
        <v>87755</v>
      </c>
      <c r="C118" s="599" t="s">
        <v>669</v>
      </c>
      <c r="D118" s="458" t="s">
        <v>63</v>
      </c>
      <c r="E118" s="600">
        <f>'TERM.ROD.-5'!C515</f>
        <v>126.37</v>
      </c>
      <c r="F118" s="479">
        <f>ROUND($K$7*41.44,2)</f>
        <v>38.27</v>
      </c>
      <c r="G118" s="460">
        <f>ROUND((F118*$J$8),2)</f>
        <v>47.84</v>
      </c>
      <c r="H118" s="479">
        <f>ROUND((E118*G118),2)</f>
        <v>6045.54</v>
      </c>
      <c r="I118" s="250">
        <f>H118/$H$159</f>
        <v>0.02394273267326733</v>
      </c>
    </row>
    <row r="119" spans="1:9" s="32" customFormat="1" ht="38.25">
      <c r="A119" s="458" t="s">
        <v>506</v>
      </c>
      <c r="B119" s="456">
        <v>87247</v>
      </c>
      <c r="C119" s="599" t="s">
        <v>240</v>
      </c>
      <c r="D119" s="458" t="s">
        <v>63</v>
      </c>
      <c r="E119" s="600">
        <f>'TERM.ROD.-5'!C523</f>
        <v>11.75</v>
      </c>
      <c r="F119" s="479">
        <f>ROUND($K$7*41.65,2)</f>
        <v>38.46</v>
      </c>
      <c r="G119" s="460">
        <f>ROUND((F119*$J$8),2)</f>
        <v>48.08</v>
      </c>
      <c r="H119" s="479">
        <f>ROUND((E119*G119),2)</f>
        <v>564.94</v>
      </c>
      <c r="I119" s="250">
        <f>H119/$H$159</f>
        <v>0.0022373861386138618</v>
      </c>
    </row>
    <row r="120" spans="1:9" s="32" customFormat="1" ht="25.5">
      <c r="A120" s="458" t="s">
        <v>507</v>
      </c>
      <c r="B120" s="456" t="str">
        <f>'COMPOSIÇÕES NÃO DESONERADO'!A376</f>
        <v>COMPOSIÇÃO 25</v>
      </c>
      <c r="C120" s="745" t="str">
        <f>'COMPOSIÇÕES NÃO DESONERADO'!A377</f>
        <v>PISO INDUSTRIAL ALTA RESISTENCIA, ESPESSURA 12MM, INCLUSO JUNTAS DE DILATACAO PLASTICAS E POLIMENTO MECANIZADO</v>
      </c>
      <c r="D120" s="521" t="s">
        <v>63</v>
      </c>
      <c r="E120" s="600">
        <f>'TERM.ROD.-5'!C528</f>
        <v>114.62</v>
      </c>
      <c r="F120" s="479">
        <f>'COMPOSIÇÕES NÃO DESONERADO'!J387</f>
        <v>92.00999999999999</v>
      </c>
      <c r="G120" s="460">
        <f>ROUND((F120*$J$8),2)</f>
        <v>115.01</v>
      </c>
      <c r="H120" s="479">
        <f>ROUND((E120*G120),2)</f>
        <v>13182.45</v>
      </c>
      <c r="I120" s="250">
        <f>H120/$H$159</f>
        <v>0.05220772277227723</v>
      </c>
    </row>
    <row r="121" spans="1:9" s="32" customFormat="1" ht="14.25">
      <c r="A121" s="545"/>
      <c r="B121" s="546"/>
      <c r="C121" s="547"/>
      <c r="D121" s="546"/>
      <c r="E121" s="663"/>
      <c r="F121" s="664" t="s">
        <v>346</v>
      </c>
      <c r="G121" s="665"/>
      <c r="H121" s="246">
        <f>SUM(H116:H120)</f>
        <v>21936.17</v>
      </c>
      <c r="I121" s="250"/>
    </row>
    <row r="122" spans="1:9" s="32" customFormat="1" ht="14.25">
      <c r="A122" s="685" t="s">
        <v>347</v>
      </c>
      <c r="B122" s="686"/>
      <c r="C122" s="687" t="s">
        <v>154</v>
      </c>
      <c r="D122" s="688"/>
      <c r="E122" s="689"/>
      <c r="F122" s="690"/>
      <c r="G122" s="691"/>
      <c r="H122" s="691"/>
      <c r="I122" s="692"/>
    </row>
    <row r="123" spans="1:9" s="32" customFormat="1" ht="54" customHeight="1">
      <c r="A123" s="598" t="s">
        <v>348</v>
      </c>
      <c r="B123" s="456" t="str">
        <f>'COMPOSIÇÕES NÃO DESONERADO'!A389</f>
        <v>COMPOSIÇÃO 26</v>
      </c>
      <c r="C123" s="706" t="str">
        <f>'COMPOSIÇÕES NÃO DESONERADO'!A390</f>
        <v>B-1 (2,80x0,60M) - BALANCIN TIPO MAXIM-AR COM VIDROS, BATENTE E FERRAGENS. EXCLUSIVE ALIZAR, ACABAMENTO E CONTRAMARCO. INCLUSIVE PEITORIL EM MÁRMORE, 15CM, VERGA E CONTRAVERGA - FORNECIMENTO E INSTALAÇÃO. AF_12/2019</v>
      </c>
      <c r="D123" s="458" t="s">
        <v>91</v>
      </c>
      <c r="E123" s="600">
        <f>'TERM.ROD.-5'!D539</f>
        <v>1</v>
      </c>
      <c r="F123" s="486">
        <f>'COMPOSIÇÕES NÃO DESONERADO'!J397</f>
        <v>1066.0700000000002</v>
      </c>
      <c r="G123" s="460">
        <f>ROUND((F123*$J$8),2)</f>
        <v>1332.59</v>
      </c>
      <c r="H123" s="479">
        <f>ROUND((E123*G123),2)</f>
        <v>1332.59</v>
      </c>
      <c r="I123" s="250">
        <f>H123/$H$159</f>
        <v>0.005277584158415842</v>
      </c>
    </row>
    <row r="124" spans="1:9" s="32" customFormat="1" ht="54" customHeight="1">
      <c r="A124" s="598" t="s">
        <v>709</v>
      </c>
      <c r="B124" s="456" t="str">
        <f>'COMPOSIÇÕES NÃO DESONERADO'!A399</f>
        <v>COMPOSIÇÃO 27</v>
      </c>
      <c r="C124" s="706" t="str">
        <f>'COMPOSIÇÕES NÃO DESONERADO'!A400</f>
        <v>B-2 (0,80x0,60M) - BALANCIN TIPO MAXIM-AR COM VIDROS, BATENTE E FERRAGENS. EXCLUSIVE ALIZAR, ACABAMENTO E CONTRAMARCO. INCLUSIVE PEITORIL EM MÁRMORE, 15CM, VERGA E CONTRAVERGA - FORNECIMENTO E INSTALAÇÃO. AF_12/2019</v>
      </c>
      <c r="D124" s="458" t="s">
        <v>91</v>
      </c>
      <c r="E124" s="600">
        <f>'TERM.ROD.-5'!D539</f>
        <v>1</v>
      </c>
      <c r="F124" s="486">
        <f>'COMPOSIÇÕES NÃO DESONERADO'!J407</f>
        <v>326.33000000000004</v>
      </c>
      <c r="G124" s="460">
        <f>ROUND((F124*$J$8),2)</f>
        <v>407.91</v>
      </c>
      <c r="H124" s="479">
        <f>ROUND((E124*G124),2)</f>
        <v>407.91</v>
      </c>
      <c r="I124" s="250">
        <f>H124/$H$159</f>
        <v>0.0016154851485148517</v>
      </c>
    </row>
    <row r="125" spans="1:9" s="32" customFormat="1" ht="67.5" customHeight="1">
      <c r="A125" s="598" t="s">
        <v>730</v>
      </c>
      <c r="B125" s="456" t="str">
        <f>'COMPOSIÇÕES NÃO DESONERADO'!A420</f>
        <v>COMPOSIÇÃO 29</v>
      </c>
      <c r="C125" s="706" t="str">
        <f>'COMPOSIÇÕES NÃO DESONERADO'!A421</f>
        <v>V-1 (2,80x1,00M) - VISOR DE ATENDIMENTO DO GUICHÊ COM VIDRO, BATENTE E FERRAGENS. EXCLUSIVE ALIZAR, ACABAMENTO E CONTRAMARCO. INCLUSIVE PEITORIL (30CM) E BANCADA (40CM) DE ATENDIMENTO EM GRANITO 2,5CM, 15CM, VERGA E CONTRAVERGA - FORNECIMENTO E INSTALAÇÃO. AF_12/2019</v>
      </c>
      <c r="D125" s="458" t="s">
        <v>91</v>
      </c>
      <c r="E125" s="600">
        <f>'TERM.ROD.-5'!D539</f>
        <v>1</v>
      </c>
      <c r="F125" s="486">
        <f>'COMPOSIÇÕES NÃO DESONERADO'!J433</f>
        <v>1235.3</v>
      </c>
      <c r="G125" s="460">
        <f>ROUND((F125*$J$8),2)</f>
        <v>1544.13</v>
      </c>
      <c r="H125" s="479">
        <f>ROUND((E125*G125),2)</f>
        <v>1544.13</v>
      </c>
      <c r="I125" s="250">
        <f>H125/$H$159</f>
        <v>0.006115366336633664</v>
      </c>
    </row>
    <row r="126" spans="1:9" s="32" customFormat="1" ht="42.75" customHeight="1">
      <c r="A126" s="598" t="s">
        <v>731</v>
      </c>
      <c r="B126" s="456">
        <v>79627</v>
      </c>
      <c r="C126" s="706" t="s">
        <v>699</v>
      </c>
      <c r="D126" s="458" t="s">
        <v>239</v>
      </c>
      <c r="E126" s="600">
        <f>'TERM.ROD.-5'!D546</f>
        <v>3.15</v>
      </c>
      <c r="F126" s="486">
        <f>ROUND($K$7*408.2,2)</f>
        <v>376.93</v>
      </c>
      <c r="G126" s="460">
        <f>ROUND((F126*$J$8),2)</f>
        <v>471.16</v>
      </c>
      <c r="H126" s="479">
        <f>ROUND((E126*G126),2)</f>
        <v>1484.15</v>
      </c>
      <c r="I126" s="250">
        <f>H126/$H$159</f>
        <v>0.005877821782178219</v>
      </c>
    </row>
    <row r="127" spans="1:9" s="32" customFormat="1" ht="69" customHeight="1">
      <c r="A127" s="598" t="s">
        <v>732</v>
      </c>
      <c r="B127" s="456" t="str">
        <f>'COMPOSIÇÕES NÃO DESONERADO'!A409</f>
        <v>COMPOSIÇÃO 28</v>
      </c>
      <c r="C127" s="706" t="str">
        <f>'COMPOSIÇÕES NÃO DESONERADO'!A410</f>
        <v>P1 (70X210CM) - PORTA DE MADEIRA PARA PINTURA, SEMI-OCA (LEVE OU MÉDIA), ESPESSURA DE 3,5CM, INCLUSO DOBRADIÇAS, FECHADURA COM CILINDRO COMPLETA, APLICAÇÃO DE MASSA ACRÍLICA (DUAS DEMÃOS), PINTURA ESMALTE ACETINADO E FUNDO NIVELADOR (DUAS DEMÃOS) - FORNECIMENTO E INSTALAÇÃO (INCLUI VERGA) AF_08/2015</v>
      </c>
      <c r="D127" s="694" t="s">
        <v>227</v>
      </c>
      <c r="E127" s="694">
        <v>2</v>
      </c>
      <c r="F127" s="486">
        <f>'COMPOSIÇÕES NÃO DESONERADO'!J418</f>
        <v>596.28</v>
      </c>
      <c r="G127" s="460">
        <f>ROUND((F127*$J$8),2)</f>
        <v>745.35</v>
      </c>
      <c r="H127" s="479">
        <f>ROUND((E127*G127),2)</f>
        <v>1490.7</v>
      </c>
      <c r="I127" s="250">
        <f>H127/$H$159</f>
        <v>0.005903762376237624</v>
      </c>
    </row>
    <row r="128" spans="1:9" s="32" customFormat="1" ht="14.25">
      <c r="A128" s="545"/>
      <c r="B128" s="546"/>
      <c r="C128" s="547"/>
      <c r="D128" s="546"/>
      <c r="E128" s="663"/>
      <c r="F128" s="664" t="s">
        <v>359</v>
      </c>
      <c r="G128" s="665"/>
      <c r="H128" s="246">
        <f>SUM(H122:H127)</f>
        <v>6259.4800000000005</v>
      </c>
      <c r="I128" s="250"/>
    </row>
    <row r="129" spans="1:9" s="32" customFormat="1" ht="14.25">
      <c r="A129" s="685" t="s">
        <v>349</v>
      </c>
      <c r="B129" s="686"/>
      <c r="C129" s="687" t="s">
        <v>155</v>
      </c>
      <c r="D129" s="688"/>
      <c r="E129" s="689"/>
      <c r="F129" s="690"/>
      <c r="G129" s="691"/>
      <c r="H129" s="691"/>
      <c r="I129" s="692"/>
    </row>
    <row r="130" spans="1:10" s="32" customFormat="1" ht="25.5">
      <c r="A130" s="598" t="s">
        <v>350</v>
      </c>
      <c r="B130" s="456">
        <v>96135</v>
      </c>
      <c r="C130" s="599" t="s">
        <v>706</v>
      </c>
      <c r="D130" s="458" t="s">
        <v>63</v>
      </c>
      <c r="E130" s="533">
        <f>'TERM.ROD.-5'!D553</f>
        <v>252.89</v>
      </c>
      <c r="F130" s="487">
        <f>$K$7*19.95</f>
        <v>18.42183</v>
      </c>
      <c r="G130" s="460">
        <f>ROUND((F130*$J$8),2)</f>
        <v>23.03</v>
      </c>
      <c r="H130" s="479">
        <f>ROUND((E130*G130),2)</f>
        <v>5824.06</v>
      </c>
      <c r="I130" s="250">
        <f>H130/$H$159</f>
        <v>0.023065584158415846</v>
      </c>
      <c r="J130" s="241">
        <v>11.76</v>
      </c>
    </row>
    <row r="131" spans="1:10" s="32" customFormat="1" ht="25.5">
      <c r="A131" s="598" t="s">
        <v>368</v>
      </c>
      <c r="B131" s="456">
        <v>88489</v>
      </c>
      <c r="C131" s="599" t="s">
        <v>203</v>
      </c>
      <c r="D131" s="458" t="s">
        <v>63</v>
      </c>
      <c r="E131" s="533">
        <f>'TERM.ROD.-5'!D553</f>
        <v>252.89</v>
      </c>
      <c r="F131" s="487">
        <f>ROUND($K$7*13.01,2)</f>
        <v>12.01</v>
      </c>
      <c r="G131" s="460">
        <f>ROUND((F131*$J$8),2)</f>
        <v>15.01</v>
      </c>
      <c r="H131" s="479">
        <f>ROUND((E131*G131),2)</f>
        <v>3795.88</v>
      </c>
      <c r="I131" s="250">
        <f>H131/$H$159</f>
        <v>0.015033188118811883</v>
      </c>
      <c r="J131" s="241">
        <v>11.76</v>
      </c>
    </row>
    <row r="132" spans="1:9" s="32" customFormat="1" ht="14.25">
      <c r="A132" s="545"/>
      <c r="B132" s="546"/>
      <c r="C132" s="547"/>
      <c r="D132" s="546"/>
      <c r="E132" s="663"/>
      <c r="F132" s="664" t="s">
        <v>360</v>
      </c>
      <c r="G132" s="665"/>
      <c r="H132" s="246">
        <f>SUM(H129:H131)</f>
        <v>9619.94</v>
      </c>
      <c r="I132" s="250"/>
    </row>
    <row r="133" spans="1:9" s="32" customFormat="1" ht="14.25">
      <c r="A133" s="685" t="s">
        <v>366</v>
      </c>
      <c r="B133" s="686"/>
      <c r="C133" s="687" t="s">
        <v>156</v>
      </c>
      <c r="D133" s="688"/>
      <c r="E133" s="689"/>
      <c r="F133" s="690"/>
      <c r="G133" s="691"/>
      <c r="H133" s="691"/>
      <c r="I133" s="692"/>
    </row>
    <row r="134" spans="1:9" s="32" customFormat="1" ht="25.5">
      <c r="A134" s="598" t="s">
        <v>367</v>
      </c>
      <c r="B134" s="463">
        <v>97586</v>
      </c>
      <c r="C134" s="761" t="s">
        <v>182</v>
      </c>
      <c r="D134" s="463" t="s">
        <v>227</v>
      </c>
      <c r="E134" s="762">
        <f>'TERM.ROD.-5'!D558</f>
        <v>2</v>
      </c>
      <c r="F134" s="488">
        <f>$K$7*82.73</f>
        <v>76.392882</v>
      </c>
      <c r="G134" s="460">
        <f>ROUND((F134*$J$8),2)</f>
        <v>95.49</v>
      </c>
      <c r="H134" s="479">
        <f>ROUND((E134*G134),2)</f>
        <v>190.98</v>
      </c>
      <c r="I134" s="250">
        <f>H134/$H$159</f>
        <v>0.0007563564356435644</v>
      </c>
    </row>
    <row r="135" spans="1:10" s="32" customFormat="1" ht="25.5">
      <c r="A135" s="598" t="s">
        <v>733</v>
      </c>
      <c r="B135" s="463">
        <v>97583</v>
      </c>
      <c r="C135" s="761" t="s">
        <v>245</v>
      </c>
      <c r="D135" s="463" t="s">
        <v>227</v>
      </c>
      <c r="E135" s="762">
        <f>'TERM.ROD.-5'!D562</f>
        <v>22</v>
      </c>
      <c r="F135" s="487">
        <f>$K$7*46.3</f>
        <v>42.75342</v>
      </c>
      <c r="G135" s="460">
        <f>ROUND((F135*$J$8),2)</f>
        <v>53.44</v>
      </c>
      <c r="H135" s="479">
        <f>ROUND((E135*G135),2)</f>
        <v>1175.68</v>
      </c>
      <c r="I135" s="250">
        <f>H135/$H$159</f>
        <v>0.004656158415841585</v>
      </c>
      <c r="J135" s="488">
        <v>43.3</v>
      </c>
    </row>
    <row r="136" spans="1:10" s="32" customFormat="1" ht="25.5">
      <c r="A136" s="598" t="s">
        <v>734</v>
      </c>
      <c r="B136" s="463" t="s">
        <v>788</v>
      </c>
      <c r="C136" s="761" t="s">
        <v>789</v>
      </c>
      <c r="D136" s="463" t="s">
        <v>244</v>
      </c>
      <c r="E136" s="762">
        <f>'TERM.ROD.-5'!D567</f>
        <v>5</v>
      </c>
      <c r="F136" s="488">
        <f>ROUND($K$7*23.43,2)</f>
        <v>21.64</v>
      </c>
      <c r="G136" s="460">
        <f>ROUND((F136*$J$8),2)</f>
        <v>27.05</v>
      </c>
      <c r="H136" s="479">
        <f aca="true" t="shared" si="14" ref="H136:H151">ROUND((E136*G136),2)</f>
        <v>135.25</v>
      </c>
      <c r="I136" s="250">
        <f>H136/$H$159</f>
        <v>0.0005356435643564358</v>
      </c>
      <c r="J136" s="42"/>
    </row>
    <row r="137" spans="1:10" s="32" customFormat="1" ht="25.5">
      <c r="A137" s="598" t="s">
        <v>735</v>
      </c>
      <c r="B137" s="463">
        <v>91959</v>
      </c>
      <c r="C137" s="761" t="s">
        <v>790</v>
      </c>
      <c r="D137" s="463" t="s">
        <v>244</v>
      </c>
      <c r="E137" s="762">
        <f>'TERM.ROD.-5'!D571</f>
        <v>1</v>
      </c>
      <c r="F137" s="488">
        <f>($K$7*31.15)+1.445</f>
        <v>30.20891</v>
      </c>
      <c r="G137" s="460">
        <f aca="true" t="shared" si="15" ref="G137:G148">ROUND((F137*$J$8),2)</f>
        <v>37.76</v>
      </c>
      <c r="H137" s="479">
        <f t="shared" si="14"/>
        <v>37.76</v>
      </c>
      <c r="I137" s="250">
        <f>H137/$H$159</f>
        <v>0.00014954455445544555</v>
      </c>
      <c r="J137" s="42"/>
    </row>
    <row r="138" spans="1:10" s="32" customFormat="1" ht="25.5">
      <c r="A138" s="598" t="s">
        <v>736</v>
      </c>
      <c r="B138" s="463">
        <v>92023</v>
      </c>
      <c r="C138" s="761" t="s">
        <v>791</v>
      </c>
      <c r="D138" s="463" t="s">
        <v>244</v>
      </c>
      <c r="E138" s="762">
        <f>'TERM.ROD.-5'!D575</f>
        <v>3</v>
      </c>
      <c r="F138" s="488">
        <f>$K$7*34.86</f>
        <v>32.189724</v>
      </c>
      <c r="G138" s="460">
        <f t="shared" si="15"/>
        <v>40.24</v>
      </c>
      <c r="H138" s="479">
        <f t="shared" si="14"/>
        <v>120.72</v>
      </c>
      <c r="I138" s="524" t="s">
        <v>398</v>
      </c>
      <c r="J138" s="42"/>
    </row>
    <row r="139" spans="1:10" s="32" customFormat="1" ht="25.5">
      <c r="A139" s="598" t="s">
        <v>737</v>
      </c>
      <c r="B139" s="463" t="s">
        <v>781</v>
      </c>
      <c r="C139" s="761" t="s">
        <v>782</v>
      </c>
      <c r="D139" s="463" t="s">
        <v>244</v>
      </c>
      <c r="E139" s="762">
        <f>'TERM.ROD.-5'!D579</f>
        <v>10</v>
      </c>
      <c r="F139" s="488">
        <f>$K$7*20.76</f>
        <v>19.169784</v>
      </c>
      <c r="G139" s="460">
        <f t="shared" si="15"/>
        <v>23.96</v>
      </c>
      <c r="H139" s="479">
        <f t="shared" si="14"/>
        <v>239.6</v>
      </c>
      <c r="I139" s="250">
        <f aca="true" t="shared" si="16" ref="I139:I151">H139/$H$159</f>
        <v>0.000948910891089109</v>
      </c>
      <c r="J139" s="42"/>
    </row>
    <row r="140" spans="1:10" s="32" customFormat="1" ht="38.25">
      <c r="A140" s="598" t="s">
        <v>738</v>
      </c>
      <c r="B140" s="463">
        <v>83463</v>
      </c>
      <c r="C140" s="761" t="s">
        <v>792</v>
      </c>
      <c r="D140" s="463" t="s">
        <v>244</v>
      </c>
      <c r="E140" s="762">
        <f>'TERM.ROD.-5'!D583</f>
        <v>1</v>
      </c>
      <c r="F140" s="488">
        <f>ROUND($K$7*268.68,2)</f>
        <v>248.1</v>
      </c>
      <c r="G140" s="460">
        <f t="shared" si="15"/>
        <v>310.13</v>
      </c>
      <c r="H140" s="479">
        <f t="shared" si="14"/>
        <v>310.13</v>
      </c>
      <c r="I140" s="250">
        <f t="shared" si="16"/>
        <v>0.0012282376237623765</v>
      </c>
      <c r="J140" s="42"/>
    </row>
    <row r="141" spans="1:10" s="32" customFormat="1" ht="25.5">
      <c r="A141" s="598" t="s">
        <v>739</v>
      </c>
      <c r="B141" s="463" t="s">
        <v>183</v>
      </c>
      <c r="C141" s="768" t="s">
        <v>184</v>
      </c>
      <c r="D141" s="463" t="s">
        <v>227</v>
      </c>
      <c r="E141" s="762">
        <f>'TERM.ROD.-5'!D587</f>
        <v>8</v>
      </c>
      <c r="F141" s="488">
        <f>ROUND($K$7*10.33,2)</f>
        <v>9.54</v>
      </c>
      <c r="G141" s="460">
        <f t="shared" si="15"/>
        <v>11.93</v>
      </c>
      <c r="H141" s="479">
        <f t="shared" si="14"/>
        <v>95.44</v>
      </c>
      <c r="I141" s="250">
        <f t="shared" si="16"/>
        <v>0.00037798019801980204</v>
      </c>
      <c r="J141" s="42"/>
    </row>
    <row r="142" spans="1:10" s="32" customFormat="1" ht="25.5">
      <c r="A142" s="598" t="s">
        <v>740</v>
      </c>
      <c r="B142" s="463">
        <v>91844</v>
      </c>
      <c r="C142" s="768" t="s">
        <v>246</v>
      </c>
      <c r="D142" s="463" t="s">
        <v>69</v>
      </c>
      <c r="E142" s="762">
        <f>'TERM.ROD.-5'!D592</f>
        <v>11</v>
      </c>
      <c r="F142" s="488">
        <f>ROUND($K$7*4.49,2)</f>
        <v>4.15</v>
      </c>
      <c r="G142" s="460">
        <f t="shared" si="15"/>
        <v>5.19</v>
      </c>
      <c r="H142" s="479">
        <f t="shared" si="14"/>
        <v>57.09</v>
      </c>
      <c r="I142" s="250">
        <f t="shared" si="16"/>
        <v>0.00022609900990099013</v>
      </c>
      <c r="J142" s="42"/>
    </row>
    <row r="143" spans="1:10" s="32" customFormat="1" ht="38.25">
      <c r="A143" s="598" t="s">
        <v>741</v>
      </c>
      <c r="B143" s="463">
        <v>91902</v>
      </c>
      <c r="C143" s="761" t="s">
        <v>185</v>
      </c>
      <c r="D143" s="463" t="s">
        <v>227</v>
      </c>
      <c r="E143" s="762">
        <f>'TERM.ROD.-5'!D597</f>
        <v>5</v>
      </c>
      <c r="F143" s="488">
        <f>ROUND($K$7*9.07,2)</f>
        <v>8.38</v>
      </c>
      <c r="G143" s="460">
        <f t="shared" si="15"/>
        <v>10.48</v>
      </c>
      <c r="H143" s="479">
        <f t="shared" si="14"/>
        <v>52.4</v>
      </c>
      <c r="I143" s="250">
        <f t="shared" si="16"/>
        <v>0.00020752475247524753</v>
      </c>
      <c r="J143" s="769"/>
    </row>
    <row r="144" spans="1:10" s="32" customFormat="1" ht="38.25">
      <c r="A144" s="598" t="s">
        <v>742</v>
      </c>
      <c r="B144" s="463" t="s">
        <v>752</v>
      </c>
      <c r="C144" s="768" t="s">
        <v>753</v>
      </c>
      <c r="D144" s="463" t="s">
        <v>69</v>
      </c>
      <c r="E144" s="762">
        <f>'TERM.ROD.-5'!D602</f>
        <v>18</v>
      </c>
      <c r="F144" s="488">
        <f>ROUND($K$7*8.51,2)</f>
        <v>7.86</v>
      </c>
      <c r="G144" s="460">
        <f t="shared" si="15"/>
        <v>9.83</v>
      </c>
      <c r="H144" s="479">
        <f t="shared" si="14"/>
        <v>176.94</v>
      </c>
      <c r="I144" s="250">
        <f t="shared" si="16"/>
        <v>0.0007007524752475248</v>
      </c>
      <c r="J144" s="769"/>
    </row>
    <row r="145" spans="1:10" s="32" customFormat="1" ht="38.25">
      <c r="A145" s="598" t="s">
        <v>743</v>
      </c>
      <c r="B145" s="463" t="s">
        <v>754</v>
      </c>
      <c r="C145" s="761" t="s">
        <v>755</v>
      </c>
      <c r="D145" s="463" t="s">
        <v>227</v>
      </c>
      <c r="E145" s="762">
        <f>'TERM.ROD.-5'!D607</f>
        <v>9</v>
      </c>
      <c r="F145" s="488">
        <f>$K$7*6.5</f>
        <v>6.0021</v>
      </c>
      <c r="G145" s="460">
        <f t="shared" si="15"/>
        <v>7.5</v>
      </c>
      <c r="H145" s="479">
        <f t="shared" si="14"/>
        <v>67.5</v>
      </c>
      <c r="I145" s="250">
        <f t="shared" si="16"/>
        <v>0.00026732673267326735</v>
      </c>
      <c r="J145" s="769"/>
    </row>
    <row r="146" spans="1:10" s="32" customFormat="1" ht="51">
      <c r="A146" s="598" t="s">
        <v>744</v>
      </c>
      <c r="B146" s="463">
        <v>96562</v>
      </c>
      <c r="C146" s="761" t="s">
        <v>793</v>
      </c>
      <c r="D146" s="463" t="s">
        <v>247</v>
      </c>
      <c r="E146" s="762">
        <f>'TERM.ROD.-5'!D611</f>
        <v>91.80000000000001</v>
      </c>
      <c r="F146" s="488">
        <f>$K$7*34.36</f>
        <v>31.728023999999998</v>
      </c>
      <c r="G146" s="460">
        <f t="shared" si="15"/>
        <v>39.66</v>
      </c>
      <c r="H146" s="479">
        <f t="shared" si="14"/>
        <v>3640.79</v>
      </c>
      <c r="I146" s="250">
        <f t="shared" si="16"/>
        <v>0.014418970297029704</v>
      </c>
      <c r="J146" s="769"/>
    </row>
    <row r="147" spans="1:12" s="32" customFormat="1" ht="14.25">
      <c r="A147" s="598" t="s">
        <v>745</v>
      </c>
      <c r="B147" s="463" t="s">
        <v>242</v>
      </c>
      <c r="C147" s="770" t="s">
        <v>243</v>
      </c>
      <c r="D147" s="463" t="s">
        <v>227</v>
      </c>
      <c r="E147" s="762">
        <f>'TERM.ROD.-5'!D615</f>
        <v>3</v>
      </c>
      <c r="F147" s="487">
        <f>ROUND($K$7*166.79,2)</f>
        <v>154.01</v>
      </c>
      <c r="G147" s="460">
        <f t="shared" si="15"/>
        <v>192.51</v>
      </c>
      <c r="H147" s="479">
        <f t="shared" si="14"/>
        <v>577.53</v>
      </c>
      <c r="I147" s="250">
        <f t="shared" si="16"/>
        <v>0.0022872475247524755</v>
      </c>
      <c r="J147" s="488">
        <v>151.6</v>
      </c>
      <c r="L147" s="32" t="s">
        <v>374</v>
      </c>
    </row>
    <row r="148" spans="1:13" s="32" customFormat="1" ht="25.5">
      <c r="A148" s="598" t="s">
        <v>746</v>
      </c>
      <c r="B148" s="463" t="s">
        <v>756</v>
      </c>
      <c r="C148" s="761" t="s">
        <v>757</v>
      </c>
      <c r="D148" s="463" t="s">
        <v>244</v>
      </c>
      <c r="E148" s="762">
        <f>'TERM.ROD.-5'!D619</f>
        <v>1</v>
      </c>
      <c r="F148" s="487">
        <f>ROUND($K$7*106.39,2)-1.82</f>
        <v>96.42</v>
      </c>
      <c r="G148" s="460">
        <f t="shared" si="15"/>
        <v>120.53</v>
      </c>
      <c r="H148" s="479">
        <f t="shared" si="14"/>
        <v>120.53</v>
      </c>
      <c r="I148" s="250">
        <f t="shared" si="16"/>
        <v>0.0004773465346534654</v>
      </c>
      <c r="J148" s="488">
        <v>89.68</v>
      </c>
      <c r="L148" s="771">
        <v>0.804</v>
      </c>
      <c r="M148" s="32" t="s">
        <v>392</v>
      </c>
    </row>
    <row r="149" spans="1:13" s="432" customFormat="1" ht="25.5">
      <c r="A149" s="598" t="s">
        <v>747</v>
      </c>
      <c r="B149" s="463">
        <v>96986</v>
      </c>
      <c r="C149" s="761" t="s">
        <v>248</v>
      </c>
      <c r="D149" s="463" t="s">
        <v>227</v>
      </c>
      <c r="E149" s="762">
        <f>'TERM.ROD.-5'!D623</f>
        <v>3</v>
      </c>
      <c r="F149" s="488">
        <f>$K$7*86.98</f>
        <v>80.31733200000001</v>
      </c>
      <c r="G149" s="460">
        <f aca="true" t="shared" si="17" ref="G149:G151">ROUND((F149*$J$8),2)</f>
        <v>100.4</v>
      </c>
      <c r="H149" s="479">
        <f t="shared" si="14"/>
        <v>301.2</v>
      </c>
      <c r="I149" s="250">
        <f t="shared" si="16"/>
        <v>0.001192871287128713</v>
      </c>
      <c r="J149" s="769"/>
      <c r="L149" s="771">
        <v>0.9603</v>
      </c>
      <c r="M149" s="772" t="s">
        <v>393</v>
      </c>
    </row>
    <row r="150" spans="1:10" s="432" customFormat="1" ht="25.5">
      <c r="A150" s="598" t="s">
        <v>748</v>
      </c>
      <c r="B150" s="463">
        <v>91926</v>
      </c>
      <c r="C150" s="761" t="s">
        <v>186</v>
      </c>
      <c r="D150" s="463" t="s">
        <v>69</v>
      </c>
      <c r="E150" s="762">
        <f>'TERM.ROD.-5'!D628</f>
        <v>365</v>
      </c>
      <c r="F150" s="488">
        <f>$K$7*2.63</f>
        <v>2.4285419999999998</v>
      </c>
      <c r="G150" s="460">
        <f t="shared" si="17"/>
        <v>3.04</v>
      </c>
      <c r="H150" s="479">
        <f t="shared" si="14"/>
        <v>1109.6</v>
      </c>
      <c r="I150" s="250">
        <f t="shared" si="16"/>
        <v>0.004394455445544555</v>
      </c>
      <c r="J150" s="769"/>
    </row>
    <row r="151" spans="1:10" s="432" customFormat="1" ht="25.5">
      <c r="A151" s="598" t="s">
        <v>749</v>
      </c>
      <c r="B151" s="463">
        <v>91928</v>
      </c>
      <c r="C151" s="761" t="s">
        <v>118</v>
      </c>
      <c r="D151" s="463" t="s">
        <v>69</v>
      </c>
      <c r="E151" s="762">
        <f>'TERM.ROD.-5'!D633</f>
        <v>25</v>
      </c>
      <c r="F151" s="488">
        <f>$K$7*4.19</f>
        <v>3.8690460000000004</v>
      </c>
      <c r="G151" s="460">
        <f t="shared" si="17"/>
        <v>4.84</v>
      </c>
      <c r="H151" s="479">
        <f t="shared" si="14"/>
        <v>121</v>
      </c>
      <c r="I151" s="250">
        <f t="shared" si="16"/>
        <v>0.00047920792079207924</v>
      </c>
      <c r="J151" s="769"/>
    </row>
    <row r="152" spans="1:18" s="432" customFormat="1" ht="12.75">
      <c r="A152" s="545"/>
      <c r="B152" s="546"/>
      <c r="C152" s="547"/>
      <c r="D152" s="546"/>
      <c r="E152" s="663"/>
      <c r="F152" s="664" t="s">
        <v>365</v>
      </c>
      <c r="G152" s="665"/>
      <c r="H152" s="246">
        <f>SUM(H133:H151)</f>
        <v>8530.14</v>
      </c>
      <c r="I152" s="250"/>
      <c r="J152" s="41"/>
      <c r="L152" s="41"/>
      <c r="M152" s="41"/>
      <c r="N152" s="41"/>
      <c r="O152" s="41"/>
      <c r="P152" s="41"/>
      <c r="Q152" s="41"/>
      <c r="R152" s="41"/>
    </row>
    <row r="153" spans="1:18" ht="12.75">
      <c r="A153" s="259"/>
      <c r="B153" s="260"/>
      <c r="C153" s="423"/>
      <c r="D153" s="260"/>
      <c r="E153" s="260"/>
      <c r="F153" s="263" t="s">
        <v>222</v>
      </c>
      <c r="G153" s="258"/>
      <c r="H153" s="257">
        <f>H152+H106+H102+H71+H55+H45+H132+H128+H121+H110+H74+H115+H81</f>
        <v>199426.37999999998</v>
      </c>
      <c r="I153" s="407">
        <f>SUM(I43:I152)</f>
        <v>0.7893293465346534</v>
      </c>
      <c r="L153" s="379"/>
      <c r="M153" s="378"/>
      <c r="N153" s="379"/>
      <c r="O153" s="379"/>
      <c r="P153" s="379"/>
      <c r="Q153" s="379"/>
      <c r="R153" s="379"/>
    </row>
    <row r="154" spans="1:16" s="379" customFormat="1" ht="12.75">
      <c r="A154" s="550"/>
      <c r="B154" s="551"/>
      <c r="C154" s="552"/>
      <c r="D154" s="553"/>
      <c r="E154" s="553"/>
      <c r="F154" s="554"/>
      <c r="G154" s="555"/>
      <c r="H154" s="556"/>
      <c r="I154" s="544"/>
      <c r="M154" s="380"/>
      <c r="N154" s="409"/>
      <c r="O154" s="377"/>
      <c r="P154" s="377"/>
    </row>
    <row r="155" spans="1:18" ht="12.75">
      <c r="A155" s="565">
        <v>6</v>
      </c>
      <c r="B155" s="566"/>
      <c r="C155" s="567" t="s">
        <v>373</v>
      </c>
      <c r="D155" s="568"/>
      <c r="E155" s="568"/>
      <c r="F155" s="568"/>
      <c r="G155" s="568"/>
      <c r="H155" s="568"/>
      <c r="I155" s="569"/>
      <c r="L155" s="379"/>
      <c r="M155" s="379"/>
      <c r="N155" s="381"/>
      <c r="O155" s="381"/>
      <c r="P155" s="381"/>
      <c r="Q155" s="379"/>
      <c r="R155" s="379"/>
    </row>
    <row r="156" spans="1:18" s="432" customFormat="1" ht="12.75">
      <c r="A156" s="458" t="s">
        <v>3</v>
      </c>
      <c r="B156" s="456" t="str">
        <f>'COMPOSIÇÕES NÃO DESONERADO'!A321</f>
        <v>COMPOSIÇÃO 21</v>
      </c>
      <c r="C156" s="768" t="str">
        <f>'COMPOSIÇÕES NÃO DESONERADO'!A322</f>
        <v>LIMPEZA FINAL DA OBRA</v>
      </c>
      <c r="D156" s="458" t="s">
        <v>63</v>
      </c>
      <c r="E156" s="533">
        <f>'SERV. FINAIS.-6'!C16</f>
        <v>313.5</v>
      </c>
      <c r="F156" s="460">
        <f>'COMPOSIÇÕES NÃO DESONERADO'!J326</f>
        <v>2.27</v>
      </c>
      <c r="G156" s="460">
        <f>ROUND((F156*$J$8),2)</f>
        <v>2.84</v>
      </c>
      <c r="H156" s="460">
        <f>ROUND((E156*G156),2)</f>
        <v>890.34</v>
      </c>
      <c r="I156" s="250">
        <f>H156/$H$159</f>
        <v>0.0035260990099009906</v>
      </c>
      <c r="L156" s="41"/>
      <c r="M156" s="41"/>
      <c r="N156" s="434"/>
      <c r="O156" s="773"/>
      <c r="P156" s="774"/>
      <c r="Q156" s="41"/>
      <c r="R156" s="41"/>
    </row>
    <row r="157" spans="1:18" ht="15">
      <c r="A157" s="259"/>
      <c r="B157" s="260"/>
      <c r="C157" s="423"/>
      <c r="D157" s="260"/>
      <c r="E157" s="260"/>
      <c r="F157" s="263" t="s">
        <v>139</v>
      </c>
      <c r="G157" s="258"/>
      <c r="H157" s="257">
        <f>ROUND(SUM(H155:H156),2)</f>
        <v>890.34</v>
      </c>
      <c r="I157" s="407">
        <f>SUM(I156)</f>
        <v>0.0035260990099009906</v>
      </c>
      <c r="J157" s="436"/>
      <c r="K157" s="28"/>
      <c r="L157" s="379"/>
      <c r="M157" s="379"/>
      <c r="N157" s="410"/>
      <c r="O157" s="410"/>
      <c r="P157" s="377"/>
      <c r="Q157" s="379"/>
      <c r="R157" s="379"/>
    </row>
    <row r="158" spans="1:16" s="379" customFormat="1" ht="15">
      <c r="A158" s="470"/>
      <c r="B158" s="557"/>
      <c r="C158" s="547"/>
      <c r="D158" s="558"/>
      <c r="E158" s="559"/>
      <c r="F158" s="555"/>
      <c r="G158" s="471"/>
      <c r="H158" s="560"/>
      <c r="I158" s="561"/>
      <c r="J158" s="562"/>
      <c r="K158" s="469"/>
      <c r="N158" s="410"/>
      <c r="O158" s="410"/>
      <c r="P158" s="377"/>
    </row>
    <row r="159" spans="1:18" ht="12.75">
      <c r="A159" s="1058" t="s">
        <v>65</v>
      </c>
      <c r="B159" s="1058"/>
      <c r="C159" s="1058"/>
      <c r="D159" s="1058"/>
      <c r="E159" s="1058"/>
      <c r="F159" s="1058"/>
      <c r="G159" s="1058"/>
      <c r="H159" s="247">
        <f>H157+H153+H39+H25+H18+H12</f>
        <v>252499.99999999997</v>
      </c>
      <c r="I159" s="420">
        <f>I157+I153+I39+I25+I18+I12</f>
        <v>0.999521900990099</v>
      </c>
      <c r="L159" s="379"/>
      <c r="M159" s="379"/>
      <c r="N159" s="410"/>
      <c r="O159" s="410"/>
      <c r="P159" s="377"/>
      <c r="Q159" s="379"/>
      <c r="R159" s="379"/>
    </row>
    <row r="160" spans="1:18" s="432" customFormat="1" ht="12.75">
      <c r="A160" s="1059"/>
      <c r="B160" s="1060"/>
      <c r="C160" s="1060"/>
      <c r="D160" s="1060"/>
      <c r="E160" s="1060"/>
      <c r="F160" s="1060"/>
      <c r="G160" s="1060"/>
      <c r="H160" s="1060"/>
      <c r="I160" s="1060"/>
      <c r="J160" s="435"/>
      <c r="L160" s="41"/>
      <c r="M160" s="41"/>
      <c r="N160" s="433"/>
      <c r="O160" s="433"/>
      <c r="P160" s="434"/>
      <c r="Q160" s="41"/>
      <c r="R160" s="41"/>
    </row>
    <row r="161" spans="6:18" ht="12.75">
      <c r="F161" s="418"/>
      <c r="L161" s="379"/>
      <c r="M161" s="379"/>
      <c r="N161" s="381"/>
      <c r="O161" s="381"/>
      <c r="P161" s="381"/>
      <c r="Q161" s="379"/>
      <c r="R161" s="379"/>
    </row>
    <row r="162" spans="6:18" ht="12.75">
      <c r="F162" s="418"/>
      <c r="I162" s="1052"/>
      <c r="L162" s="379"/>
      <c r="M162" s="379"/>
      <c r="N162" s="377"/>
      <c r="O162" s="409"/>
      <c r="P162" s="381"/>
      <c r="Q162" s="379"/>
      <c r="R162" s="379"/>
    </row>
    <row r="163" spans="9:18" ht="12.75">
      <c r="I163" s="1052"/>
      <c r="L163" s="379"/>
      <c r="M163" s="382"/>
      <c r="N163" s="410"/>
      <c r="O163" s="410"/>
      <c r="P163" s="377"/>
      <c r="Q163" s="379"/>
      <c r="R163" s="379"/>
    </row>
    <row r="164" spans="9:18" ht="12.75">
      <c r="I164" s="1052"/>
      <c r="L164" s="379"/>
      <c r="M164" s="382"/>
      <c r="N164" s="410"/>
      <c r="O164" s="410"/>
      <c r="P164" s="377"/>
      <c r="Q164" s="379"/>
      <c r="R164" s="379"/>
    </row>
    <row r="165" spans="8:18" ht="12.75">
      <c r="H165" s="419"/>
      <c r="L165" s="379"/>
      <c r="M165" s="382"/>
      <c r="N165" s="410"/>
      <c r="O165" s="410"/>
      <c r="P165" s="377"/>
      <c r="Q165" s="379"/>
      <c r="R165" s="379"/>
    </row>
    <row r="166" spans="5:18" ht="12.75">
      <c r="E166" s="1053" t="s">
        <v>399</v>
      </c>
      <c r="F166" s="1053"/>
      <c r="G166" s="243"/>
      <c r="L166" s="379"/>
      <c r="M166" s="379"/>
      <c r="N166" s="411"/>
      <c r="O166" s="412"/>
      <c r="P166" s="379"/>
      <c r="Q166" s="379"/>
      <c r="R166" s="379"/>
    </row>
    <row r="167" spans="5:18" ht="12.75">
      <c r="E167" s="437" t="s">
        <v>380</v>
      </c>
      <c r="F167" s="438">
        <v>250000</v>
      </c>
      <c r="G167" s="244">
        <f>106.39*70%</f>
        <v>74.473</v>
      </c>
      <c r="L167" s="379"/>
      <c r="M167" s="379"/>
      <c r="N167" s="379"/>
      <c r="O167" s="379"/>
      <c r="P167" s="379"/>
      <c r="Q167" s="379"/>
      <c r="R167" s="379"/>
    </row>
    <row r="168" spans="5:18" ht="12.75">
      <c r="E168" s="439" t="s">
        <v>381</v>
      </c>
      <c r="F168" s="440">
        <v>2500</v>
      </c>
      <c r="G168" s="428"/>
      <c r="M168" s="379"/>
      <c r="N168" s="379"/>
      <c r="O168" s="379"/>
      <c r="P168" s="379"/>
      <c r="Q168" s="379"/>
      <c r="R168" s="379"/>
    </row>
    <row r="169" spans="5:7" ht="12.75">
      <c r="E169" s="441"/>
      <c r="F169" s="442">
        <f>SUM(F167:F168)</f>
        <v>252500</v>
      </c>
      <c r="G169" s="428"/>
    </row>
    <row r="170" spans="7:8" ht="15.75">
      <c r="G170" s="409"/>
      <c r="H170" s="429"/>
    </row>
    <row r="171" spans="5:6" ht="12.75">
      <c r="E171" s="1053" t="s">
        <v>400</v>
      </c>
      <c r="F171" s="1053"/>
    </row>
    <row r="172" spans="5:9" ht="12.75">
      <c r="E172" s="437" t="s">
        <v>380</v>
      </c>
      <c r="F172" s="438">
        <v>250000</v>
      </c>
      <c r="H172" s="248"/>
      <c r="I172" s="243"/>
    </row>
    <row r="173" spans="5:9" ht="12.75">
      <c r="E173" s="439" t="s">
        <v>381</v>
      </c>
      <c r="F173" s="440">
        <f>H159-F172</f>
        <v>2499.999999999971</v>
      </c>
      <c r="I173" s="252"/>
    </row>
    <row r="174" spans="5:6" ht="12.75">
      <c r="E174" s="441"/>
      <c r="F174" s="442">
        <f>SUM(F172:F173)</f>
        <v>252499.99999999997</v>
      </c>
    </row>
    <row r="175" ht="12.75">
      <c r="I175" s="243"/>
    </row>
    <row r="177" ht="12.75">
      <c r="F177" s="242">
        <f>F169-F174</f>
        <v>0</v>
      </c>
    </row>
    <row r="179" ht="12.75">
      <c r="I179" s="243"/>
    </row>
  </sheetData>
  <mergeCells count="19">
    <mergeCell ref="O20:T31"/>
    <mergeCell ref="J20:J31"/>
    <mergeCell ref="K20:K31"/>
    <mergeCell ref="D6:E6"/>
    <mergeCell ref="D7:E7"/>
    <mergeCell ref="F7:I7"/>
    <mergeCell ref="F6:I6"/>
    <mergeCell ref="E166:F166"/>
    <mergeCell ref="E171:F171"/>
    <mergeCell ref="A1:I1"/>
    <mergeCell ref="L20:N31"/>
    <mergeCell ref="A6:A7"/>
    <mergeCell ref="I162:I164"/>
    <mergeCell ref="A159:G159"/>
    <mergeCell ref="B5:C5"/>
    <mergeCell ref="B4:I4"/>
    <mergeCell ref="D5:I5"/>
    <mergeCell ref="A160:I160"/>
    <mergeCell ref="B6:C7"/>
  </mergeCells>
  <conditionalFormatting sqref="E158:G158 E12 E9:G9 E18 G18 G12 G103:G105 E103:E105 E71 G71">
    <cfRule type="cellIs" priority="868" dxfId="0" operator="equal" stopIfTrue="1">
      <formula>0</formula>
    </cfRule>
  </conditionalFormatting>
  <conditionalFormatting sqref="F15 B15">
    <cfRule type="expression" priority="851" dxfId="17">
      <formula>AND($M15="",$M14="",$C15=2)</formula>
    </cfRule>
    <cfRule type="expression" priority="852" dxfId="16">
      <formula>AND($M15="",$M14="",$C15=5)</formula>
    </cfRule>
    <cfRule type="expression" priority="853" dxfId="15">
      <formula>AND($M15="",$M14="",$C15=8)</formula>
    </cfRule>
    <cfRule type="expression" priority="854" dxfId="14">
      <formula>AND($M15="",$M14="",$C15=11)</formula>
    </cfRule>
  </conditionalFormatting>
  <conditionalFormatting sqref="B17 F17">
    <cfRule type="expression" priority="901" dxfId="17">
      <formula>AND($M17="",#REF!="",$C17=2)</formula>
    </cfRule>
    <cfRule type="expression" priority="902" dxfId="16">
      <formula>AND($M17="",#REF!="",$C17=5)</formula>
    </cfRule>
    <cfRule type="expression" priority="903" dxfId="15">
      <formula>AND($M17="",#REF!="",$C17=8)</formula>
    </cfRule>
    <cfRule type="expression" priority="904" dxfId="14">
      <formula>AND($M17="",#REF!="",$C17=11)</formula>
    </cfRule>
  </conditionalFormatting>
  <conditionalFormatting sqref="F16 B16">
    <cfRule type="expression" priority="909" dxfId="17">
      <formula>AND($M16="",#REF!="",$C16=2)</formula>
    </cfRule>
    <cfRule type="expression" priority="910" dxfId="16">
      <formula>AND($M16="",#REF!="",$C16=5)</formula>
    </cfRule>
    <cfRule type="expression" priority="911" dxfId="15">
      <formula>AND($M16="",#REF!="",$C16=8)</formula>
    </cfRule>
    <cfRule type="expression" priority="912" dxfId="14">
      <formula>AND($M16="",#REF!="",$C16=11)</formula>
    </cfRule>
  </conditionalFormatting>
  <conditionalFormatting sqref="C11">
    <cfRule type="expression" priority="634" dxfId="17">
      <formula>AND(#REF!="",#REF!="",$C11=2)</formula>
    </cfRule>
    <cfRule type="expression" priority="635" dxfId="16">
      <formula>AND(#REF!="",#REF!="",$C11=5)</formula>
    </cfRule>
    <cfRule type="expression" priority="636" dxfId="15">
      <formula>AND(#REF!="",#REF!="",$C11=8)</formula>
    </cfRule>
    <cfRule type="expression" priority="637" dxfId="14">
      <formula>AND(#REF!="",#REF!="",$C11=11)</formula>
    </cfRule>
  </conditionalFormatting>
  <conditionalFormatting sqref="E26:G26 E25 G25">
    <cfRule type="cellIs" priority="203" dxfId="0" operator="equal" stopIfTrue="1">
      <formula>0</formula>
    </cfRule>
  </conditionalFormatting>
  <conditionalFormatting sqref="E41:G41">
    <cfRule type="cellIs" priority="177" dxfId="0" operator="equal" stopIfTrue="1">
      <formula>0</formula>
    </cfRule>
  </conditionalFormatting>
  <conditionalFormatting sqref="E45 G45">
    <cfRule type="cellIs" priority="64" dxfId="0" operator="equal" stopIfTrue="1">
      <formula>0</formula>
    </cfRule>
  </conditionalFormatting>
  <conditionalFormatting sqref="B22 F22">
    <cfRule type="expression" priority="1087" dxfId="17">
      <formula>AND(#REF!="",#REF!="",$C22=2)</formula>
    </cfRule>
    <cfRule type="expression" priority="1088" dxfId="16">
      <formula>AND(#REF!="",#REF!="",$C22=5)</formula>
    </cfRule>
    <cfRule type="expression" priority="1089" dxfId="15">
      <formula>AND(#REF!="",#REF!="",$C22=8)</formula>
    </cfRule>
    <cfRule type="expression" priority="1090" dxfId="14">
      <formula>AND(#REF!="",#REF!="",$C22=11)</formula>
    </cfRule>
  </conditionalFormatting>
  <conditionalFormatting sqref="B24 F24">
    <cfRule type="expression" priority="1095" dxfId="17">
      <formula>AND(#REF!="",#REF!="",$C24=2)</formula>
    </cfRule>
    <cfRule type="expression" priority="1096" dxfId="16">
      <formula>AND(#REF!="",#REF!="",$C24=5)</formula>
    </cfRule>
    <cfRule type="expression" priority="1097" dxfId="15">
      <formula>AND(#REF!="",#REF!="",$C24=8)</formula>
    </cfRule>
    <cfRule type="expression" priority="1098" dxfId="14">
      <formula>AND(#REF!="",#REF!="",$C24=11)</formula>
    </cfRule>
  </conditionalFormatting>
  <conditionalFormatting sqref="E39 G39">
    <cfRule type="cellIs" priority="17" dxfId="0" operator="equal" stopIfTrue="1">
      <formula>0</formula>
    </cfRule>
  </conditionalFormatting>
  <conditionalFormatting sqref="E153 G153">
    <cfRule type="cellIs" priority="16" dxfId="0" operator="equal" stopIfTrue="1">
      <formula>0</formula>
    </cfRule>
  </conditionalFormatting>
  <conditionalFormatting sqref="E157 G157">
    <cfRule type="cellIs" priority="15" dxfId="0" operator="equal" stopIfTrue="1">
      <formula>0</formula>
    </cfRule>
  </conditionalFormatting>
  <conditionalFormatting sqref="E55 G55">
    <cfRule type="cellIs" priority="14" dxfId="0" operator="equal" stopIfTrue="1">
      <formula>0</formula>
    </cfRule>
  </conditionalFormatting>
  <conditionalFormatting sqref="E74 G74">
    <cfRule type="cellIs" priority="11" dxfId="0" operator="equal" stopIfTrue="1">
      <formula>0</formula>
    </cfRule>
  </conditionalFormatting>
  <conditionalFormatting sqref="E102 G102">
    <cfRule type="cellIs" priority="10" dxfId="0" operator="equal" stopIfTrue="1">
      <formula>0</formula>
    </cfRule>
  </conditionalFormatting>
  <conditionalFormatting sqref="E106 G106">
    <cfRule type="cellIs" priority="9" dxfId="0" operator="equal" stopIfTrue="1">
      <formula>0</formula>
    </cfRule>
  </conditionalFormatting>
  <conditionalFormatting sqref="E110 G110">
    <cfRule type="cellIs" priority="8" dxfId="0" operator="equal" stopIfTrue="1">
      <formula>0</formula>
    </cfRule>
  </conditionalFormatting>
  <conditionalFormatting sqref="E115 G115">
    <cfRule type="cellIs" priority="7" dxfId="0" operator="equal" stopIfTrue="1">
      <formula>0</formula>
    </cfRule>
  </conditionalFormatting>
  <conditionalFormatting sqref="E121 G121">
    <cfRule type="cellIs" priority="6" dxfId="0" operator="equal" stopIfTrue="1">
      <formula>0</formula>
    </cfRule>
  </conditionalFormatting>
  <conditionalFormatting sqref="E128 G128">
    <cfRule type="cellIs" priority="5" dxfId="0" operator="equal" stopIfTrue="1">
      <formula>0</formula>
    </cfRule>
  </conditionalFormatting>
  <conditionalFormatting sqref="E132 G132">
    <cfRule type="cellIs" priority="4" dxfId="0" operator="equal" stopIfTrue="1">
      <formula>0</formula>
    </cfRule>
  </conditionalFormatting>
  <conditionalFormatting sqref="E152 G152">
    <cfRule type="cellIs" priority="3" dxfId="0" operator="equal" stopIfTrue="1">
      <formula>0</formula>
    </cfRule>
  </conditionalFormatting>
  <conditionalFormatting sqref="E81 G81">
    <cfRule type="cellIs" priority="1" dxfId="0" operator="equal" stopIfTrue="1">
      <formula>0</formula>
    </cfRule>
  </conditionalFormatting>
  <printOptions horizontalCentered="1"/>
  <pageMargins left="0.2362204724409449" right="0.2362204724409449" top="0.2755905511811024" bottom="0.5118110236220472" header="0.31496062992125984" footer="0.31496062992125984"/>
  <pageSetup fitToHeight="12" horizontalDpi="600" verticalDpi="600" orientation="landscape" paperSize="9" scale="53" r:id="rId2"/>
  <headerFooter alignWithMargins="0">
    <oddFooter>&amp;CPágina &amp;P de &amp;N</oddFooter>
  </headerFooter>
  <rowBreaks count="4" manualBreakCount="4">
    <brk id="40" max="16383" man="1"/>
    <brk id="74" max="16383" man="1"/>
    <brk id="106" max="16383" man="1"/>
    <brk id="132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5"/>
  <sheetViews>
    <sheetView view="pageBreakPreview" zoomScale="85" zoomScaleSheetLayoutView="85" workbookViewId="0" topLeftCell="A1">
      <selection activeCell="P26" sqref="P26"/>
    </sheetView>
  </sheetViews>
  <sheetFormatPr defaultColWidth="9.140625" defaultRowHeight="12.75"/>
  <cols>
    <col min="1" max="1" width="21.00390625" style="14" customWidth="1"/>
    <col min="2" max="2" width="13.140625" style="24" customWidth="1"/>
    <col min="3" max="3" width="12.7109375" style="24" customWidth="1"/>
    <col min="4" max="4" width="11.7109375" style="24" customWidth="1"/>
    <col min="5" max="5" width="9.57421875" style="24" customWidth="1"/>
    <col min="6" max="6" width="11.28125" style="24" customWidth="1"/>
    <col min="7" max="11" width="9.140625" style="24" customWidth="1"/>
    <col min="12" max="12" width="9.57421875" style="24" bestFit="1" customWidth="1"/>
    <col min="13" max="13" width="11.421875" style="24" bestFit="1" customWidth="1"/>
    <col min="14" max="14" width="15.421875" style="24" bestFit="1" customWidth="1"/>
  </cols>
  <sheetData>
    <row r="1" spans="1:14" s="2" customFormat="1" ht="87" customHeight="1">
      <c r="A1" s="1071" t="s">
        <v>134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3"/>
      <c r="N1" s="28"/>
    </row>
    <row r="2" spans="1:13" s="28" customFormat="1" ht="15">
      <c r="A2" s="895" t="s">
        <v>57</v>
      </c>
      <c r="B2" s="895"/>
      <c r="C2" s="1074" t="str">
        <f>'ORÇAMENTO NÃO DESONERADO'!B2</f>
        <v>PREFEITURA MUNICIPAL DE OURÉM</v>
      </c>
      <c r="D2" s="997"/>
      <c r="E2" s="997"/>
      <c r="F2" s="997"/>
      <c r="G2" s="998"/>
      <c r="H2" s="804" t="s">
        <v>95</v>
      </c>
      <c r="I2" s="804"/>
      <c r="J2" s="1050" t="s">
        <v>172</v>
      </c>
      <c r="K2" s="1050"/>
      <c r="L2" s="1050"/>
      <c r="M2" s="1050"/>
    </row>
    <row r="3" spans="1:13" s="28" customFormat="1" ht="15">
      <c r="A3" s="895" t="s">
        <v>58</v>
      </c>
      <c r="B3" s="895"/>
      <c r="C3" s="896" t="str">
        <f>'ORÇAMENTO NÃO DESONERADO'!B3</f>
        <v>CONSTRUÇÃO DE TERMINAL RODOVIÁRIO ETAPA-02</v>
      </c>
      <c r="D3" s="896"/>
      <c r="E3" s="896"/>
      <c r="F3" s="896"/>
      <c r="G3" s="896"/>
      <c r="H3" s="896"/>
      <c r="I3" s="896"/>
      <c r="J3" s="896"/>
      <c r="K3" s="896"/>
      <c r="L3" s="896"/>
      <c r="M3" s="896"/>
    </row>
    <row r="4" spans="1:13" s="28" customFormat="1" ht="15">
      <c r="A4" s="880" t="s">
        <v>59</v>
      </c>
      <c r="B4" s="880"/>
      <c r="C4" s="1043" t="str">
        <f>'ORÇAMENTO NÃO DESONERADO'!B4</f>
        <v>RUA JOAQUIM DIONISIO COM RUA PERSEVERANDO S/N. PRAÇA DO TERMINAL OURÉM/PA</v>
      </c>
      <c r="D4" s="1043"/>
      <c r="E4" s="1043"/>
      <c r="F4" s="1043"/>
      <c r="G4" s="1043"/>
      <c r="H4" s="1043"/>
      <c r="I4" s="1043"/>
      <c r="J4" s="1043"/>
      <c r="K4" s="1043"/>
      <c r="L4" s="1043"/>
      <c r="M4" s="1043"/>
    </row>
    <row r="5" spans="1:13" s="28" customFormat="1" ht="15" customHeight="1">
      <c r="A5" s="895" t="s">
        <v>60</v>
      </c>
      <c r="B5" s="895"/>
      <c r="C5" s="1079">
        <f>'BDI NÃO DESONERADO'!I25</f>
        <v>0.25</v>
      </c>
      <c r="D5" s="1079"/>
      <c r="E5" s="1079"/>
      <c r="F5" s="1079"/>
      <c r="G5" s="1079"/>
      <c r="H5" s="880" t="s">
        <v>36</v>
      </c>
      <c r="I5" s="880"/>
      <c r="J5" s="1045" t="str">
        <f>'ORÇAMENTO NÃO DESONERADO'!F6</f>
        <v>SINAPI - JULHO DE 2020</v>
      </c>
      <c r="K5" s="1045"/>
      <c r="L5" s="1045"/>
      <c r="M5" s="1045"/>
    </row>
    <row r="6" spans="1:13" s="28" customFormat="1" ht="12.75">
      <c r="A6" s="880" t="s">
        <v>96</v>
      </c>
      <c r="B6" s="880"/>
      <c r="C6" s="882" t="str">
        <f>'ORÇAMENTO NÃO DESONERADO'!B6</f>
        <v xml:space="preserve"> MARUZA BAPTISTA </v>
      </c>
      <c r="D6" s="882"/>
      <c r="E6" s="882"/>
      <c r="F6" s="882"/>
      <c r="G6" s="882"/>
      <c r="H6" s="880"/>
      <c r="I6" s="880"/>
      <c r="J6" s="1045"/>
      <c r="K6" s="1045"/>
      <c r="L6" s="1045"/>
      <c r="M6" s="1045"/>
    </row>
    <row r="7" spans="1:13" s="28" customFormat="1" ht="15" customHeight="1">
      <c r="A7" s="880"/>
      <c r="B7" s="880"/>
      <c r="C7" s="882"/>
      <c r="D7" s="882"/>
      <c r="E7" s="882"/>
      <c r="F7" s="882"/>
      <c r="G7" s="882"/>
      <c r="H7" s="1080" t="s">
        <v>98</v>
      </c>
      <c r="I7" s="1080"/>
      <c r="J7" s="1047" t="s">
        <v>99</v>
      </c>
      <c r="K7" s="1047"/>
      <c r="L7" s="1047"/>
      <c r="M7" s="1047"/>
    </row>
    <row r="8" spans="1:13" s="42" customFormat="1" ht="15" customHeight="1">
      <c r="A8" s="35"/>
      <c r="B8" s="35"/>
      <c r="C8" s="36"/>
      <c r="D8" s="36"/>
      <c r="E8" s="36"/>
      <c r="F8" s="36"/>
      <c r="G8" s="36"/>
      <c r="H8" s="38"/>
      <c r="I8" s="38"/>
      <c r="J8" s="38"/>
      <c r="K8" s="38"/>
      <c r="L8" s="38"/>
      <c r="M8" s="38"/>
    </row>
    <row r="9" spans="1:14" s="24" customFormat="1" ht="15" customHeight="1">
      <c r="A9" s="815">
        <f>'ORÇAMENTO NÃO DESONERADO'!A10</f>
        <v>1</v>
      </c>
      <c r="B9" s="822" t="str">
        <f>'ORÇAMENTO NÃO DESONERADO'!C10</f>
        <v>ADMINISTRAÇÃO LOCAL</v>
      </c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532"/>
      <c r="N9" s="43"/>
    </row>
    <row r="10" spans="1:14" s="157" customFormat="1" ht="15">
      <c r="A10" s="450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156"/>
    </row>
    <row r="11" spans="1:14" s="157" customFormat="1" ht="15">
      <c r="A11" s="810" t="str">
        <f>'ORÇAMENTO NÃO DESONERADO'!A11</f>
        <v>1.1</v>
      </c>
      <c r="B11" s="449" t="str">
        <f>'ORÇAMENTO NÃO DESONERADO'!C11</f>
        <v>ADMINISTRAÇÃO LOCAL (ENGENHEIRO CIVIL E ENCARREGADO)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156"/>
    </row>
    <row r="12" spans="1:14" s="157" customFormat="1" ht="15">
      <c r="A12" s="450"/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156"/>
    </row>
    <row r="13" spans="1:14" s="157" customFormat="1" ht="15">
      <c r="A13" s="811"/>
      <c r="B13" s="44" t="str">
        <f>'COMPOSIÇÕES NÃO DESONERADO'!C13</f>
        <v>ENGENHEIRO CIVIL DE OBRA JUNIOR COM ENCARGOS COMPLEMENTARES</v>
      </c>
      <c r="C13" s="44"/>
      <c r="D13" s="44"/>
      <c r="E13" s="45"/>
      <c r="F13" s="46"/>
      <c r="G13" s="156"/>
      <c r="H13" s="156"/>
      <c r="I13" s="156"/>
      <c r="J13" s="156"/>
      <c r="K13" s="156"/>
      <c r="L13" s="156"/>
      <c r="M13" s="156"/>
      <c r="N13" s="156"/>
    </row>
    <row r="14" spans="1:14" s="157" customFormat="1" ht="15">
      <c r="A14" s="811"/>
      <c r="B14" s="74"/>
      <c r="C14" s="48" t="s">
        <v>125</v>
      </c>
      <c r="D14" s="49"/>
      <c r="E14" s="50" t="s">
        <v>126</v>
      </c>
      <c r="F14" s="46"/>
      <c r="G14" s="50" t="s">
        <v>127</v>
      </c>
      <c r="H14" s="156"/>
      <c r="I14" s="156"/>
      <c r="J14" s="156"/>
      <c r="K14" s="156"/>
      <c r="L14" s="156"/>
      <c r="M14" s="156"/>
      <c r="N14" s="156"/>
    </row>
    <row r="15" spans="1:14" s="157" customFormat="1" ht="15">
      <c r="A15" s="811"/>
      <c r="B15" s="48" t="s">
        <v>128</v>
      </c>
      <c r="C15" s="51">
        <v>1</v>
      </c>
      <c r="D15" s="52" t="s">
        <v>28</v>
      </c>
      <c r="E15" s="53">
        <v>6</v>
      </c>
      <c r="F15" s="54" t="s">
        <v>28</v>
      </c>
      <c r="G15" s="65">
        <v>5</v>
      </c>
      <c r="H15" s="68" t="s">
        <v>29</v>
      </c>
      <c r="I15" s="453">
        <f>ROUND((C15*E15*G15),2)</f>
        <v>30</v>
      </c>
      <c r="J15" s="454" t="s">
        <v>68</v>
      </c>
      <c r="K15" s="777"/>
      <c r="L15" s="156"/>
      <c r="M15" s="156"/>
      <c r="N15" s="156"/>
    </row>
    <row r="16" spans="1:14" s="157" customFormat="1" ht="15">
      <c r="A16" s="812"/>
      <c r="B16" s="277"/>
      <c r="C16" s="277"/>
      <c r="D16" s="277"/>
      <c r="E16" s="21"/>
      <c r="F16" s="21"/>
      <c r="G16" s="156"/>
      <c r="H16" s="156"/>
      <c r="I16" s="156"/>
      <c r="J16" s="156"/>
      <c r="K16" s="156"/>
      <c r="L16" s="156"/>
      <c r="M16" s="156"/>
      <c r="N16" s="156"/>
    </row>
    <row r="17" spans="1:14" s="157" customFormat="1" ht="13.5" customHeight="1">
      <c r="A17" s="1078"/>
      <c r="B17" s="44" t="str">
        <f>'COMPOSIÇÕES NÃO DESONERADO'!C14</f>
        <v>ENCARREGADO GERAL COM ENCARGOS COMPLEMENTARES</v>
      </c>
      <c r="C17" s="44"/>
      <c r="D17" s="44"/>
      <c r="E17" s="45"/>
      <c r="F17" s="46"/>
      <c r="G17" s="156"/>
      <c r="H17" s="156"/>
      <c r="I17" s="156"/>
      <c r="J17" s="156"/>
      <c r="K17" s="156"/>
      <c r="L17" s="156"/>
      <c r="M17" s="156"/>
      <c r="N17" s="156"/>
    </row>
    <row r="18" spans="1:14" s="157" customFormat="1" ht="13.5" customHeight="1">
      <c r="A18" s="1078"/>
      <c r="B18" s="55"/>
      <c r="C18" s="55"/>
      <c r="D18" s="55"/>
      <c r="E18" s="56"/>
      <c r="F18" s="46"/>
      <c r="G18" s="156"/>
      <c r="H18" s="156"/>
      <c r="I18" s="156"/>
      <c r="J18" s="156"/>
      <c r="K18" s="156"/>
      <c r="L18" s="156"/>
      <c r="M18" s="156"/>
      <c r="N18" s="156"/>
    </row>
    <row r="19" spans="1:14" s="157" customFormat="1" ht="13.5" customHeight="1">
      <c r="A19" s="811"/>
      <c r="B19" s="44"/>
      <c r="C19" s="48" t="s">
        <v>125</v>
      </c>
      <c r="D19" s="49"/>
      <c r="E19" s="50" t="s">
        <v>126</v>
      </c>
      <c r="F19" s="46"/>
      <c r="G19" s="50" t="s">
        <v>127</v>
      </c>
      <c r="H19" s="156"/>
      <c r="I19" s="156"/>
      <c r="J19" s="156"/>
      <c r="K19" s="156"/>
      <c r="L19" s="156"/>
      <c r="M19" s="156"/>
      <c r="N19" s="156"/>
    </row>
    <row r="20" spans="1:14" s="157" customFormat="1" ht="13.5" customHeight="1">
      <c r="A20" s="811"/>
      <c r="B20" s="48" t="s">
        <v>128</v>
      </c>
      <c r="C20" s="51">
        <v>4</v>
      </c>
      <c r="D20" s="52" t="s">
        <v>28</v>
      </c>
      <c r="E20" s="53">
        <v>22</v>
      </c>
      <c r="F20" s="54" t="s">
        <v>28</v>
      </c>
      <c r="G20" s="65">
        <f>G15</f>
        <v>5</v>
      </c>
      <c r="H20" s="778" t="s">
        <v>29</v>
      </c>
      <c r="I20" s="453">
        <f>ROUND((C20*E20*G20),2)</f>
        <v>440</v>
      </c>
      <c r="J20" s="454" t="s">
        <v>68</v>
      </c>
      <c r="K20" s="779"/>
      <c r="L20" s="156"/>
      <c r="M20" s="156"/>
      <c r="N20" s="156"/>
    </row>
    <row r="21" spans="1:14" s="157" customFormat="1" ht="15">
      <c r="A21" s="156"/>
      <c r="B21" s="775"/>
      <c r="C21" s="775"/>
      <c r="D21" s="775"/>
      <c r="E21" s="776"/>
      <c r="F21" s="776"/>
      <c r="G21" s="776"/>
      <c r="H21" s="776"/>
      <c r="I21" s="776"/>
      <c r="J21" s="776"/>
      <c r="K21" s="776"/>
      <c r="L21" s="776"/>
      <c r="M21" s="156"/>
      <c r="N21" s="156"/>
    </row>
    <row r="22" spans="1:14" s="24" customFormat="1" ht="15">
      <c r="A22" s="156"/>
      <c r="B22" s="15" t="s">
        <v>27</v>
      </c>
      <c r="C22" s="16">
        <v>1</v>
      </c>
      <c r="D22" s="17" t="s">
        <v>404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4" s="157" customFormat="1" ht="1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14" s="157" customFormat="1" ht="12.75" customHeight="1">
      <c r="A24" s="815">
        <f>'ORÇAMENTO NÃO DESONERADO'!A14</f>
        <v>2</v>
      </c>
      <c r="B24" s="351" t="str">
        <f>'ORÇAMENTO NÃO DESONERADO'!C14</f>
        <v xml:space="preserve">SERVIÇOS PRELIMINARES </v>
      </c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532"/>
      <c r="N24" s="156"/>
    </row>
    <row r="25" spans="1:14" s="157" customFormat="1" ht="12.75" customHeight="1">
      <c r="A25" s="466"/>
      <c r="B25" s="467"/>
      <c r="C25" s="468"/>
      <c r="D25" s="468"/>
      <c r="E25" s="468"/>
      <c r="F25" s="468"/>
      <c r="G25" s="468"/>
      <c r="H25" s="468"/>
      <c r="I25" s="468"/>
      <c r="J25" s="468"/>
      <c r="K25" s="468"/>
      <c r="L25" s="156"/>
      <c r="M25" s="156"/>
      <c r="N25" s="156"/>
    </row>
    <row r="26" spans="1:14" s="157" customFormat="1" ht="15">
      <c r="A26" s="813" t="str">
        <f>'ORÇAMENTO NÃO DESONERADO'!A15</f>
        <v>2.1</v>
      </c>
      <c r="B26" s="87" t="str">
        <f>'ORÇAMENTO NÃO DESONERADO'!C15</f>
        <v>PLACA DE OBRA EM CHAPA DE ACO GALVANIZADO</v>
      </c>
      <c r="C26" s="791"/>
      <c r="D26" s="791"/>
      <c r="E26" s="791"/>
      <c r="F26" s="791"/>
      <c r="G26" s="791"/>
      <c r="H26" s="791"/>
      <c r="I26" s="791"/>
      <c r="J26" s="268"/>
      <c r="K26" s="38"/>
      <c r="L26" s="156"/>
      <c r="M26" s="156"/>
      <c r="N26" s="156"/>
    </row>
    <row r="27" spans="1:14" s="157" customFormat="1" ht="15">
      <c r="A27" s="277"/>
      <c r="B27" s="277" t="s">
        <v>254</v>
      </c>
      <c r="C27" s="277"/>
      <c r="D27" s="277" t="s">
        <v>66</v>
      </c>
      <c r="E27" s="277"/>
      <c r="F27" s="277"/>
      <c r="H27" s="277"/>
      <c r="I27" s="277"/>
      <c r="J27" s="268"/>
      <c r="K27" s="38"/>
      <c r="L27" s="156"/>
      <c r="M27" s="156"/>
      <c r="N27" s="156"/>
    </row>
    <row r="28" spans="1:14" s="157" customFormat="1" ht="15">
      <c r="A28" s="277" t="s">
        <v>27</v>
      </c>
      <c r="B28" s="277">
        <v>1.8</v>
      </c>
      <c r="C28" s="277" t="s">
        <v>28</v>
      </c>
      <c r="D28" s="277">
        <f>(B28/4)*8</f>
        <v>3.6</v>
      </c>
      <c r="E28" s="277"/>
      <c r="F28" s="277"/>
      <c r="H28" s="277"/>
      <c r="I28" s="277"/>
      <c r="J28" s="268"/>
      <c r="K28" s="38"/>
      <c r="L28" s="156"/>
      <c r="M28" s="156"/>
      <c r="N28" s="156"/>
    </row>
    <row r="29" spans="1:14" s="157" customFormat="1" ht="15">
      <c r="A29" s="277"/>
      <c r="B29" s="277"/>
      <c r="C29" s="277"/>
      <c r="D29" s="277"/>
      <c r="E29" s="277"/>
      <c r="F29" s="277"/>
      <c r="H29" s="277"/>
      <c r="I29" s="277"/>
      <c r="J29" s="268"/>
      <c r="K29" s="38"/>
      <c r="L29" s="156"/>
      <c r="M29" s="156"/>
      <c r="N29" s="156"/>
    </row>
    <row r="30" spans="1:14" s="24" customFormat="1" ht="15">
      <c r="A30" s="15" t="s">
        <v>27</v>
      </c>
      <c r="B30" s="16">
        <f>ROUND((B28*D28),2)</f>
        <v>6.48</v>
      </c>
      <c r="C30" s="17" t="s">
        <v>2</v>
      </c>
      <c r="D30" s="277"/>
      <c r="E30" s="277"/>
      <c r="F30" s="277"/>
      <c r="H30" s="277"/>
      <c r="I30" s="277"/>
      <c r="J30" s="268"/>
      <c r="K30" s="38"/>
      <c r="L30" s="156"/>
      <c r="M30" s="156"/>
      <c r="N30" s="47"/>
    </row>
    <row r="31" spans="1:14" s="24" customFormat="1" ht="15">
      <c r="A31" s="87"/>
      <c r="B31" s="277"/>
      <c r="C31" s="277"/>
      <c r="D31" s="277"/>
      <c r="E31" s="277"/>
      <c r="F31" s="277"/>
      <c r="G31" s="277"/>
      <c r="H31" s="277"/>
      <c r="I31" s="277"/>
      <c r="J31" s="268"/>
      <c r="K31" s="38"/>
      <c r="L31" s="156"/>
      <c r="M31" s="156"/>
      <c r="N31" s="47"/>
    </row>
    <row r="32" spans="1:14" s="24" customFormat="1" ht="15">
      <c r="A32" s="808" t="s">
        <v>783</v>
      </c>
      <c r="B32" s="277"/>
      <c r="C32" s="277"/>
      <c r="D32" s="277"/>
      <c r="E32" s="277"/>
      <c r="F32" s="277"/>
      <c r="G32" s="277"/>
      <c r="H32" s="277"/>
      <c r="I32" s="277"/>
      <c r="J32" s="268"/>
      <c r="K32" s="38"/>
      <c r="L32" s="156"/>
      <c r="M32" s="156"/>
      <c r="N32" s="47"/>
    </row>
    <row r="33" spans="1:14" s="24" customFormat="1" ht="15">
      <c r="A33" s="808" t="s">
        <v>784</v>
      </c>
      <c r="B33" s="277"/>
      <c r="C33" s="277"/>
      <c r="D33" s="277"/>
      <c r="E33" s="277"/>
      <c r="F33" s="277"/>
      <c r="G33" s="277"/>
      <c r="H33" s="277"/>
      <c r="I33" s="277"/>
      <c r="J33" s="268"/>
      <c r="K33" s="38"/>
      <c r="L33" s="60"/>
      <c r="M33" s="61"/>
      <c r="N33" s="62"/>
    </row>
    <row r="34" spans="1:14" s="24" customFormat="1" ht="15">
      <c r="A34" s="808" t="s">
        <v>787</v>
      </c>
      <c r="B34" s="277"/>
      <c r="C34" s="277"/>
      <c r="D34" s="277"/>
      <c r="E34" s="277"/>
      <c r="F34" s="277"/>
      <c r="G34" s="277"/>
      <c r="H34" s="277"/>
      <c r="I34" s="277"/>
      <c r="J34" s="268"/>
      <c r="K34" s="38"/>
      <c r="L34" s="65"/>
      <c r="M34" s="66"/>
      <c r="N34" s="66"/>
    </row>
    <row r="35" spans="1:14" s="24" customFormat="1" ht="15">
      <c r="A35" s="808"/>
      <c r="B35" s="277"/>
      <c r="C35" s="277"/>
      <c r="D35" s="277"/>
      <c r="E35" s="277"/>
      <c r="F35" s="277"/>
      <c r="G35" s="277"/>
      <c r="H35" s="277"/>
      <c r="I35" s="277"/>
      <c r="J35" s="268"/>
      <c r="K35" s="38"/>
      <c r="L35" s="68"/>
      <c r="M35" s="66"/>
      <c r="N35" s="66"/>
    </row>
    <row r="36" spans="1:14" s="24" customFormat="1" ht="15">
      <c r="A36" s="808" t="s">
        <v>785</v>
      </c>
      <c r="B36" s="277"/>
      <c r="C36" s="277"/>
      <c r="D36" s="277"/>
      <c r="E36" s="277"/>
      <c r="F36" s="277"/>
      <c r="G36" s="277"/>
      <c r="H36" s="277"/>
      <c r="I36" s="277"/>
      <c r="J36" s="268"/>
      <c r="K36" s="38"/>
      <c r="L36" s="68"/>
      <c r="M36" s="66"/>
      <c r="N36" s="66"/>
    </row>
    <row r="37" spans="1:14" s="24" customFormat="1" ht="15">
      <c r="A37" s="808" t="s">
        <v>413</v>
      </c>
      <c r="B37" s="277"/>
      <c r="C37" s="277"/>
      <c r="D37" s="277"/>
      <c r="E37" s="277"/>
      <c r="F37" s="277"/>
      <c r="G37" s="277"/>
      <c r="H37" s="277"/>
      <c r="I37" s="277"/>
      <c r="J37" s="268"/>
      <c r="K37" s="38"/>
      <c r="L37" s="65"/>
      <c r="M37" s="66"/>
      <c r="N37" s="66"/>
    </row>
    <row r="38" spans="1:14" s="24" customFormat="1" ht="15">
      <c r="A38" s="808" t="s">
        <v>786</v>
      </c>
      <c r="B38" s="277"/>
      <c r="C38" s="277"/>
      <c r="D38" s="277"/>
      <c r="E38" s="277"/>
      <c r="F38" s="277"/>
      <c r="G38" s="277"/>
      <c r="H38" s="277"/>
      <c r="I38" s="277"/>
      <c r="J38" s="268"/>
      <c r="K38" s="38"/>
      <c r="L38" s="60"/>
      <c r="M38" s="72"/>
      <c r="N38" s="73"/>
    </row>
    <row r="39" spans="1:14" s="24" customFormat="1" ht="15">
      <c r="A39" s="808" t="s">
        <v>376</v>
      </c>
      <c r="B39" s="277"/>
      <c r="C39" s="277"/>
      <c r="D39" s="277"/>
      <c r="E39" s="277"/>
      <c r="F39" s="277"/>
      <c r="G39" s="277"/>
      <c r="H39" s="277"/>
      <c r="I39" s="277"/>
      <c r="J39" s="268"/>
      <c r="K39" s="38"/>
      <c r="L39" s="74"/>
      <c r="M39" s="74"/>
      <c r="N39" s="74"/>
    </row>
    <row r="40" spans="1:14" s="24" customFormat="1" ht="15">
      <c r="A40" s="808" t="s">
        <v>377</v>
      </c>
      <c r="B40" s="277"/>
      <c r="C40" s="277"/>
      <c r="D40" s="277"/>
      <c r="E40" s="277"/>
      <c r="F40" s="277"/>
      <c r="G40" s="277"/>
      <c r="H40" s="277"/>
      <c r="I40" s="277"/>
      <c r="J40" s="268"/>
      <c r="K40" s="38"/>
      <c r="L40" s="59"/>
      <c r="M40" s="59"/>
      <c r="N40" s="58"/>
    </row>
    <row r="41" spans="1:14" s="24" customFormat="1" ht="15">
      <c r="A41" s="808" t="s">
        <v>378</v>
      </c>
      <c r="B41" s="277"/>
      <c r="C41" s="277"/>
      <c r="D41" s="277"/>
      <c r="E41" s="277"/>
      <c r="F41" s="277"/>
      <c r="G41" s="277"/>
      <c r="H41" s="277"/>
      <c r="I41" s="277"/>
      <c r="J41" s="268"/>
      <c r="K41" s="38"/>
      <c r="L41" s="75"/>
      <c r="M41" s="75"/>
      <c r="N41" s="75"/>
    </row>
    <row r="42" spans="1:14" s="24" customFormat="1" ht="15">
      <c r="A42" s="87"/>
      <c r="B42" s="277"/>
      <c r="C42" s="277"/>
      <c r="D42" s="277"/>
      <c r="E42" s="277"/>
      <c r="F42" s="277"/>
      <c r="G42" s="277"/>
      <c r="H42" s="277"/>
      <c r="I42" s="277"/>
      <c r="J42" s="268"/>
      <c r="K42" s="38"/>
      <c r="L42" s="77"/>
      <c r="M42" s="77"/>
      <c r="N42" s="58"/>
    </row>
    <row r="43" spans="1:14" s="24" customFormat="1" ht="15">
      <c r="A43" s="87"/>
      <c r="B43" s="277"/>
      <c r="C43" s="277"/>
      <c r="D43" s="277"/>
      <c r="E43" s="277"/>
      <c r="F43" s="277"/>
      <c r="G43" s="277"/>
      <c r="H43" s="277"/>
      <c r="I43" s="277"/>
      <c r="J43" s="268"/>
      <c r="K43" s="38"/>
      <c r="L43" s="60"/>
      <c r="M43" s="61"/>
      <c r="N43" s="62"/>
    </row>
    <row r="44" spans="1:14" s="24" customFormat="1" ht="15">
      <c r="A44" s="792" t="str">
        <f>'ORÇAMENTO NÃO DESONERADO'!A16</f>
        <v>2.2</v>
      </c>
      <c r="B44" s="1077" t="str">
        <f>'ORÇAMENTO NÃO DESONERADO'!C16</f>
        <v>LOCACAO CONVENCIONAL DE OBRA, UTILIZANDO GABARITO DE TÁBUAS CORRIDAS PONTALETADAS A CADA 2,00M -  2 UTILIZAÇÕES. AF_10/2018</v>
      </c>
      <c r="C44" s="1077"/>
      <c r="D44" s="1077"/>
      <c r="E44" s="1077"/>
      <c r="F44" s="1077"/>
      <c r="G44" s="1077"/>
      <c r="H44" s="1077"/>
      <c r="I44" s="1077"/>
      <c r="J44" s="1077"/>
      <c r="K44" s="1077"/>
      <c r="L44" s="65"/>
      <c r="M44" s="66"/>
      <c r="N44" s="66"/>
    </row>
    <row r="45" spans="1:14" s="24" customFormat="1" ht="15">
      <c r="A45" s="792"/>
      <c r="B45" s="809"/>
      <c r="C45" s="809"/>
      <c r="D45" s="809"/>
      <c r="E45" s="809"/>
      <c r="F45" s="809"/>
      <c r="G45" s="809"/>
      <c r="H45" s="809"/>
      <c r="I45" s="809"/>
      <c r="J45" s="809"/>
      <c r="K45" s="809"/>
      <c r="L45" s="65"/>
      <c r="M45" s="66"/>
      <c r="N45" s="66"/>
    </row>
    <row r="46" spans="1:14" s="24" customFormat="1" ht="15">
      <c r="A46" s="267"/>
      <c r="B46" s="814" t="s">
        <v>31</v>
      </c>
      <c r="C46" s="268"/>
      <c r="D46" s="277" t="s">
        <v>31</v>
      </c>
      <c r="E46" s="277"/>
      <c r="F46" s="74" t="s">
        <v>34</v>
      </c>
      <c r="G46" s="268"/>
      <c r="H46" s="277"/>
      <c r="I46" s="277"/>
      <c r="J46" s="268"/>
      <c r="K46" s="38"/>
      <c r="L46" s="79"/>
      <c r="M46" s="66"/>
      <c r="N46" s="66"/>
    </row>
    <row r="47" spans="1:14" s="24" customFormat="1" ht="27.75" customHeight="1">
      <c r="A47" s="808" t="s">
        <v>421</v>
      </c>
      <c r="B47" s="594">
        <v>19</v>
      </c>
      <c r="C47" s="277" t="s">
        <v>93</v>
      </c>
      <c r="D47" s="277">
        <v>19</v>
      </c>
      <c r="E47" s="277" t="s">
        <v>93</v>
      </c>
      <c r="F47" s="277">
        <v>16.5</v>
      </c>
      <c r="G47" s="277" t="s">
        <v>29</v>
      </c>
      <c r="H47" s="277">
        <f>SUM(B47:F47)</f>
        <v>54.5</v>
      </c>
      <c r="I47" s="790" t="s">
        <v>70</v>
      </c>
      <c r="J47" s="74"/>
      <c r="K47" s="74"/>
      <c r="L47" s="79"/>
      <c r="M47" s="66"/>
      <c r="N47" s="66"/>
    </row>
    <row r="48" spans="1:14" s="24" customFormat="1" ht="26.25" customHeight="1">
      <c r="A48" s="808" t="s">
        <v>420</v>
      </c>
      <c r="B48" s="594">
        <v>19.3</v>
      </c>
      <c r="C48" s="277" t="s">
        <v>93</v>
      </c>
      <c r="D48" s="277">
        <v>16.5</v>
      </c>
      <c r="E48" s="277" t="s">
        <v>93</v>
      </c>
      <c r="F48" s="277"/>
      <c r="G48" s="277" t="s">
        <v>29</v>
      </c>
      <c r="H48" s="277">
        <f>SUM(B48:D48)</f>
        <v>35.8</v>
      </c>
      <c r="I48" s="790" t="s">
        <v>70</v>
      </c>
      <c r="J48" s="74"/>
      <c r="K48" s="74"/>
      <c r="L48" s="79"/>
      <c r="M48" s="66"/>
      <c r="N48" s="66"/>
    </row>
    <row r="49" spans="1:14" s="24" customFormat="1" ht="15">
      <c r="A49" s="87"/>
      <c r="B49" s="814"/>
      <c r="C49" s="277"/>
      <c r="D49" s="277"/>
      <c r="E49" s="277"/>
      <c r="F49" s="277"/>
      <c r="G49" s="277"/>
      <c r="H49" s="277"/>
      <c r="I49" s="277"/>
      <c r="J49" s="268"/>
      <c r="K49" s="38"/>
      <c r="L49" s="79"/>
      <c r="M49" s="66"/>
      <c r="N49" s="66"/>
    </row>
    <row r="50" spans="1:14" s="24" customFormat="1" ht="15">
      <c r="A50" s="87"/>
      <c r="B50" s="794" t="s">
        <v>27</v>
      </c>
      <c r="C50" s="797">
        <f>H47+H48</f>
        <v>90.3</v>
      </c>
      <c r="D50" s="798" t="s">
        <v>70</v>
      </c>
      <c r="E50" s="277"/>
      <c r="F50" s="277"/>
      <c r="G50" s="277"/>
      <c r="H50" s="277"/>
      <c r="I50" s="277"/>
      <c r="J50" s="268"/>
      <c r="K50" s="38"/>
      <c r="L50" s="79"/>
      <c r="M50" s="66"/>
      <c r="N50" s="66"/>
    </row>
    <row r="51" spans="1:14" s="24" customFormat="1" ht="15">
      <c r="A51" s="87"/>
      <c r="B51" s="277"/>
      <c r="C51" s="277"/>
      <c r="D51" s="277"/>
      <c r="E51" s="277"/>
      <c r="F51" s="277"/>
      <c r="G51" s="277"/>
      <c r="H51" s="277"/>
      <c r="I51" s="277"/>
      <c r="J51" s="268"/>
      <c r="K51" s="38"/>
      <c r="L51" s="60"/>
      <c r="M51" s="72"/>
      <c r="N51" s="73"/>
    </row>
    <row r="52" spans="1:14" s="24" customFormat="1" ht="15">
      <c r="A52" s="792" t="str">
        <f>'ORÇAMENTO NÃO DESONERADO'!A17</f>
        <v>2.3</v>
      </c>
      <c r="B52" s="1076" t="str">
        <f>'ORÇAMENTO NÃO DESONERADO'!C17</f>
        <v>EXECUÇÃO DE ALMOXARIFADO EM CANTEIRO DE OBRA EM CHAPA DE MADEIRA COMPENSADA, INCLUSO PRATELEIRAS. AF_02/2016</v>
      </c>
      <c r="C52" s="1076"/>
      <c r="D52" s="1076"/>
      <c r="E52" s="1076"/>
      <c r="F52" s="1076"/>
      <c r="G52" s="1076"/>
      <c r="H52" s="1076"/>
      <c r="I52" s="1076"/>
      <c r="J52" s="1076"/>
      <c r="K52" s="1076"/>
      <c r="L52" s="74"/>
      <c r="M52" s="74"/>
      <c r="N52" s="74"/>
    </row>
    <row r="53" spans="1:14" s="24" customFormat="1" ht="15">
      <c r="A53" s="87"/>
      <c r="B53" s="277"/>
      <c r="C53" s="277" t="s">
        <v>34</v>
      </c>
      <c r="D53" s="277"/>
      <c r="E53" s="277" t="s">
        <v>31</v>
      </c>
      <c r="F53" s="277"/>
      <c r="G53" s="277"/>
      <c r="H53" s="277"/>
      <c r="I53" s="277"/>
      <c r="J53" s="268"/>
      <c r="K53" s="38"/>
      <c r="L53" s="59"/>
      <c r="M53" s="59"/>
      <c r="N53" s="58"/>
    </row>
    <row r="54" spans="1:14" s="24" customFormat="1" ht="15">
      <c r="A54" s="87"/>
      <c r="B54" s="277" t="s">
        <v>27</v>
      </c>
      <c r="C54" s="277">
        <v>3</v>
      </c>
      <c r="D54" s="277" t="s">
        <v>28</v>
      </c>
      <c r="E54" s="277">
        <v>4</v>
      </c>
      <c r="F54" s="277" t="s">
        <v>29</v>
      </c>
      <c r="G54" s="277">
        <f>ROUND((C54*E54),2)</f>
        <v>12</v>
      </c>
      <c r="H54" s="1075" t="s">
        <v>2</v>
      </c>
      <c r="I54" s="1075"/>
      <c r="J54" s="268"/>
      <c r="K54" s="38"/>
      <c r="L54" s="75"/>
      <c r="M54" s="75"/>
      <c r="N54" s="75"/>
    </row>
    <row r="55" spans="1:14" s="24" customFormat="1" ht="15">
      <c r="A55" s="87"/>
      <c r="B55" s="277"/>
      <c r="C55" s="277"/>
      <c r="D55" s="277"/>
      <c r="E55" s="277"/>
      <c r="F55" s="277"/>
      <c r="G55" s="277"/>
      <c r="H55" s="277"/>
      <c r="I55" s="277"/>
      <c r="J55" s="268"/>
      <c r="K55" s="38"/>
      <c r="L55" s="77"/>
      <c r="M55" s="77"/>
      <c r="N55" s="58"/>
    </row>
    <row r="56" spans="1:14" s="24" customFormat="1" ht="15">
      <c r="A56" s="87"/>
      <c r="B56" s="794" t="s">
        <v>27</v>
      </c>
      <c r="C56" s="795">
        <f>G54</f>
        <v>12</v>
      </c>
      <c r="D56" s="796" t="s">
        <v>2</v>
      </c>
      <c r="E56" s="277"/>
      <c r="F56" s="277"/>
      <c r="G56" s="277"/>
      <c r="H56" s="74"/>
      <c r="I56" s="74"/>
      <c r="J56" s="268"/>
      <c r="K56" s="38"/>
      <c r="L56" s="60"/>
      <c r="M56" s="61"/>
      <c r="N56" s="62"/>
    </row>
    <row r="57" spans="1:14" s="24" customFormat="1" ht="15">
      <c r="A57" s="63"/>
      <c r="B57" s="70"/>
      <c r="C57" s="70"/>
      <c r="D57" s="70"/>
      <c r="E57" s="59"/>
      <c r="F57" s="59"/>
      <c r="G57" s="59"/>
      <c r="H57" s="59"/>
      <c r="I57" s="59"/>
      <c r="J57" s="59"/>
      <c r="K57" s="68"/>
      <c r="L57" s="65"/>
      <c r="M57" s="66"/>
      <c r="N57" s="66"/>
    </row>
    <row r="58" spans="1:14" s="24" customFormat="1" ht="15">
      <c r="A58" s="63"/>
      <c r="B58" s="70"/>
      <c r="C58" s="70"/>
      <c r="D58" s="70"/>
      <c r="E58" s="59"/>
      <c r="F58" s="59"/>
      <c r="G58" s="59"/>
      <c r="H58" s="59"/>
      <c r="I58" s="59"/>
      <c r="J58" s="59"/>
      <c r="K58" s="68"/>
      <c r="L58" s="65"/>
      <c r="M58" s="66"/>
      <c r="N58" s="66"/>
    </row>
    <row r="59" spans="1:14" s="24" customFormat="1" ht="12.75">
      <c r="A59" s="68"/>
      <c r="B59" s="67"/>
      <c r="C59" s="67"/>
      <c r="D59" s="67"/>
      <c r="E59" s="67"/>
      <c r="F59" s="67"/>
      <c r="G59" s="67"/>
      <c r="H59" s="67"/>
      <c r="I59" s="67"/>
      <c r="J59" s="67"/>
      <c r="K59" s="68"/>
      <c r="L59" s="65"/>
      <c r="M59" s="66"/>
      <c r="N59" s="66"/>
    </row>
    <row r="60" spans="1:14" s="24" customFormat="1" ht="24" customHeight="1">
      <c r="A60" s="68"/>
      <c r="B60" s="78"/>
      <c r="C60" s="78"/>
      <c r="D60" s="78"/>
      <c r="E60" s="78"/>
      <c r="F60" s="78"/>
      <c r="G60" s="78"/>
      <c r="H60" s="78"/>
      <c r="I60" s="78"/>
      <c r="J60" s="78"/>
      <c r="K60" s="68"/>
      <c r="L60" s="79"/>
      <c r="M60" s="66"/>
      <c r="N60" s="66"/>
    </row>
    <row r="61" spans="1:14" s="24" customFormat="1" ht="15">
      <c r="A61" s="7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60"/>
      <c r="M61" s="72"/>
      <c r="N61" s="73"/>
    </row>
    <row r="62" spans="1:14" s="24" customFormat="1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s="24" customFormat="1" ht="12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s="24" customFormat="1" ht="15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8"/>
    </row>
    <row r="65" spans="1:14" s="24" customFormat="1" ht="12.75">
      <c r="A65" s="80"/>
      <c r="B65" s="81"/>
      <c r="C65" s="81"/>
      <c r="D65" s="81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s="24" customFormat="1" ht="15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58"/>
    </row>
    <row r="67" spans="1:14" s="24" customFormat="1" ht="15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60"/>
      <c r="L67" s="60"/>
      <c r="M67" s="61"/>
      <c r="N67" s="62"/>
    </row>
    <row r="68" spans="1:14" s="24" customFormat="1" ht="15">
      <c r="A68" s="63"/>
      <c r="B68" s="70"/>
      <c r="C68" s="70"/>
      <c r="D68" s="70"/>
      <c r="E68" s="59"/>
      <c r="F68" s="59"/>
      <c r="G68" s="59"/>
      <c r="H68" s="59"/>
      <c r="I68" s="59"/>
      <c r="J68" s="59"/>
      <c r="K68" s="69"/>
      <c r="L68" s="65"/>
      <c r="M68" s="66"/>
      <c r="N68" s="62"/>
    </row>
    <row r="69" spans="1:14" s="24" customFormat="1" ht="15">
      <c r="A69" s="63"/>
      <c r="B69" s="70"/>
      <c r="C69" s="70"/>
      <c r="D69" s="70"/>
      <c r="E69" s="59"/>
      <c r="F69" s="59"/>
      <c r="G69" s="59"/>
      <c r="H69" s="59"/>
      <c r="I69" s="59"/>
      <c r="J69" s="59"/>
      <c r="K69" s="69"/>
      <c r="L69" s="65"/>
      <c r="M69" s="66"/>
      <c r="N69" s="62"/>
    </row>
    <row r="70" spans="1:14" s="24" customFormat="1" ht="24" customHeight="1">
      <c r="A70" s="69"/>
      <c r="B70" s="67"/>
      <c r="C70" s="67"/>
      <c r="D70" s="67"/>
      <c r="E70" s="67"/>
      <c r="F70" s="67"/>
      <c r="G70" s="67"/>
      <c r="H70" s="67"/>
      <c r="I70" s="67"/>
      <c r="J70" s="67"/>
      <c r="K70" s="69"/>
      <c r="L70" s="65"/>
      <c r="M70" s="66"/>
      <c r="N70" s="62"/>
    </row>
    <row r="71" spans="1:14" s="24" customFormat="1" ht="25.5" customHeight="1">
      <c r="A71" s="69"/>
      <c r="B71" s="67"/>
      <c r="C71" s="67"/>
      <c r="D71" s="67"/>
      <c r="E71" s="67"/>
      <c r="F71" s="67"/>
      <c r="G71" s="67"/>
      <c r="H71" s="67"/>
      <c r="I71" s="67"/>
      <c r="J71" s="67"/>
      <c r="K71" s="69"/>
      <c r="L71" s="65"/>
      <c r="M71" s="66"/>
      <c r="N71" s="62"/>
    </row>
    <row r="72" spans="1:14" s="24" customFormat="1" ht="24.75" customHeight="1">
      <c r="A72" s="68"/>
      <c r="B72" s="67"/>
      <c r="C72" s="67"/>
      <c r="D72" s="67"/>
      <c r="E72" s="67"/>
      <c r="F72" s="67"/>
      <c r="G72" s="67"/>
      <c r="H72" s="67"/>
      <c r="I72" s="67"/>
      <c r="J72" s="67"/>
      <c r="K72" s="68"/>
      <c r="L72" s="65"/>
      <c r="M72" s="66"/>
      <c r="N72" s="62"/>
    </row>
    <row r="73" spans="1:14" s="24" customFormat="1" ht="22.5" customHeight="1">
      <c r="A73" s="68"/>
      <c r="B73" s="78"/>
      <c r="C73" s="78"/>
      <c r="D73" s="78"/>
      <c r="E73" s="78"/>
      <c r="F73" s="78"/>
      <c r="G73" s="78"/>
      <c r="H73" s="78"/>
      <c r="I73" s="78"/>
      <c r="J73" s="78"/>
      <c r="K73" s="69"/>
      <c r="L73" s="79"/>
      <c r="M73" s="66"/>
      <c r="N73" s="82"/>
    </row>
    <row r="74" spans="1:14" s="24" customFormat="1" ht="15">
      <c r="A74" s="71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60"/>
      <c r="M74" s="72"/>
      <c r="N74" s="73"/>
    </row>
    <row r="75" spans="1:14" s="24" customFormat="1" ht="12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s="24" customFormat="1" ht="15">
      <c r="A76" s="60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8"/>
    </row>
    <row r="77" spans="1:14" s="24" customFormat="1" ht="12.75">
      <c r="A77" s="80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1:14" s="24" customFormat="1" ht="15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58"/>
    </row>
    <row r="79" spans="1:14" s="24" customFormat="1" ht="15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60"/>
      <c r="L79" s="60"/>
      <c r="M79" s="61"/>
      <c r="N79" s="62"/>
    </row>
    <row r="80" spans="1:14" s="24" customFormat="1" ht="12.75">
      <c r="A80" s="63"/>
      <c r="B80" s="21"/>
      <c r="C80" s="21"/>
      <c r="D80" s="21"/>
      <c r="E80" s="21"/>
      <c r="F80" s="21"/>
      <c r="G80" s="21"/>
      <c r="H80" s="21"/>
      <c r="I80" s="21"/>
      <c r="J80" s="21"/>
      <c r="K80" s="69"/>
      <c r="L80" s="65"/>
      <c r="M80" s="62"/>
      <c r="N80" s="62"/>
    </row>
    <row r="81" spans="1:14" s="24" customFormat="1" ht="12.75">
      <c r="A81" s="63"/>
      <c r="B81" s="77"/>
      <c r="C81" s="77"/>
      <c r="D81" s="77"/>
      <c r="E81" s="77"/>
      <c r="F81" s="77"/>
      <c r="G81" s="77"/>
      <c r="H81" s="77"/>
      <c r="I81" s="77"/>
      <c r="J81" s="77"/>
      <c r="K81" s="69"/>
      <c r="L81" s="65"/>
      <c r="M81" s="62"/>
      <c r="N81" s="62"/>
    </row>
    <row r="82" spans="1:14" s="24" customFormat="1" ht="35.25" customHeight="1">
      <c r="A82" s="68"/>
      <c r="B82" s="67"/>
      <c r="C82" s="67"/>
      <c r="D82" s="67"/>
      <c r="E82" s="67"/>
      <c r="F82" s="67"/>
      <c r="G82" s="67"/>
      <c r="H82" s="67"/>
      <c r="I82" s="67"/>
      <c r="J82" s="67"/>
      <c r="K82" s="68"/>
      <c r="L82" s="65"/>
      <c r="M82" s="62"/>
      <c r="N82" s="62"/>
    </row>
    <row r="83" spans="1:14" s="24" customFormat="1" ht="12.75">
      <c r="A83" s="68"/>
      <c r="B83" s="78"/>
      <c r="C83" s="78"/>
      <c r="D83" s="78"/>
      <c r="E83" s="78"/>
      <c r="F83" s="78"/>
      <c r="G83" s="78"/>
      <c r="H83" s="78"/>
      <c r="I83" s="78"/>
      <c r="J83" s="78"/>
      <c r="K83" s="69"/>
      <c r="L83" s="79"/>
      <c r="M83" s="66"/>
      <c r="N83" s="66"/>
    </row>
    <row r="84" spans="1:14" s="24" customFormat="1" ht="15">
      <c r="A84" s="71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60"/>
      <c r="M84" s="72"/>
      <c r="N84" s="73"/>
    </row>
    <row r="85" spans="1:14" s="24" customFormat="1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s="24" customFormat="1" ht="15">
      <c r="A86" s="60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8"/>
    </row>
    <row r="87" spans="1:14" s="24" customFormat="1" ht="12.75">
      <c r="A87" s="80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1:14" s="24" customFormat="1" ht="15">
      <c r="A88" s="76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58"/>
    </row>
    <row r="89" spans="1:14" s="24" customFormat="1" ht="15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60"/>
      <c r="L89" s="60"/>
      <c r="M89" s="61"/>
      <c r="N89" s="62"/>
    </row>
    <row r="90" spans="1:14" s="24" customFormat="1" ht="12.75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5"/>
      <c r="L90" s="65"/>
      <c r="M90" s="66"/>
      <c r="N90" s="66"/>
    </row>
    <row r="91" spans="1:14" s="24" customFormat="1" ht="12.75">
      <c r="A91" s="63"/>
      <c r="B91" s="67"/>
      <c r="C91" s="67"/>
      <c r="D91" s="67"/>
      <c r="E91" s="67"/>
      <c r="F91" s="67"/>
      <c r="G91" s="67"/>
      <c r="H91" s="67"/>
      <c r="I91" s="67"/>
      <c r="J91" s="67"/>
      <c r="K91" s="68"/>
      <c r="L91" s="65"/>
      <c r="M91" s="66"/>
      <c r="N91" s="66"/>
    </row>
    <row r="92" spans="1:14" s="24" customFormat="1" ht="12.75">
      <c r="A92" s="69"/>
      <c r="B92" s="67"/>
      <c r="C92" s="67"/>
      <c r="D92" s="67"/>
      <c r="E92" s="67"/>
      <c r="F92" s="67"/>
      <c r="G92" s="67"/>
      <c r="H92" s="67"/>
      <c r="I92" s="67"/>
      <c r="J92" s="67"/>
      <c r="K92" s="68"/>
      <c r="L92" s="65"/>
      <c r="M92" s="66"/>
      <c r="N92" s="66"/>
    </row>
    <row r="93" spans="1:14" s="24" customFormat="1" ht="25.5" customHeight="1">
      <c r="A93" s="68"/>
      <c r="B93" s="67"/>
      <c r="C93" s="67"/>
      <c r="D93" s="67"/>
      <c r="E93" s="67"/>
      <c r="F93" s="67"/>
      <c r="G93" s="67"/>
      <c r="H93" s="67"/>
      <c r="I93" s="67"/>
      <c r="J93" s="67"/>
      <c r="K93" s="68"/>
      <c r="L93" s="65"/>
      <c r="M93" s="66"/>
      <c r="N93" s="66"/>
    </row>
    <row r="94" spans="1:14" s="24" customFormat="1" ht="27" customHeight="1">
      <c r="A94" s="69"/>
      <c r="B94" s="67"/>
      <c r="C94" s="67"/>
      <c r="D94" s="67"/>
      <c r="E94" s="67"/>
      <c r="F94" s="67"/>
      <c r="G94" s="67"/>
      <c r="H94" s="67"/>
      <c r="I94" s="67"/>
      <c r="J94" s="67"/>
      <c r="K94" s="68"/>
      <c r="L94" s="65"/>
      <c r="M94" s="66"/>
      <c r="N94" s="66"/>
    </row>
    <row r="95" spans="1:14" s="24" customFormat="1" ht="26.25" customHeight="1">
      <c r="A95" s="68"/>
      <c r="B95" s="67"/>
      <c r="C95" s="67"/>
      <c r="D95" s="67"/>
      <c r="E95" s="67"/>
      <c r="F95" s="67"/>
      <c r="G95" s="67"/>
      <c r="H95" s="67"/>
      <c r="I95" s="67"/>
      <c r="J95" s="67"/>
      <c r="K95" s="68"/>
      <c r="L95" s="65"/>
      <c r="M95" s="66"/>
      <c r="N95" s="66"/>
    </row>
    <row r="96" spans="1:14" s="24" customFormat="1" ht="12.75">
      <c r="A96" s="68"/>
      <c r="B96" s="78"/>
      <c r="C96" s="78"/>
      <c r="D96" s="78"/>
      <c r="E96" s="78"/>
      <c r="F96" s="78"/>
      <c r="G96" s="78"/>
      <c r="H96" s="78"/>
      <c r="I96" s="78"/>
      <c r="J96" s="78"/>
      <c r="K96" s="69"/>
      <c r="L96" s="83"/>
      <c r="M96" s="66"/>
      <c r="N96" s="66"/>
    </row>
    <row r="97" spans="1:14" s="24" customFormat="1" ht="15">
      <c r="A97" s="7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60"/>
      <c r="M97" s="72"/>
      <c r="N97" s="73"/>
    </row>
    <row r="98" spans="1:14" s="24" customFormat="1" ht="12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s="24" customFormat="1" ht="15">
      <c r="A99" s="60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8"/>
    </row>
    <row r="100" spans="1:14" s="24" customFormat="1" ht="12.75">
      <c r="A100" s="80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</row>
    <row r="101" spans="1:14" s="24" customFormat="1" ht="15">
      <c r="A101" s="76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58"/>
    </row>
    <row r="102" spans="1:14" s="24" customFormat="1" ht="15">
      <c r="A102" s="58"/>
      <c r="B102" s="59"/>
      <c r="C102" s="59"/>
      <c r="D102" s="59"/>
      <c r="E102" s="59"/>
      <c r="F102" s="59"/>
      <c r="G102" s="59"/>
      <c r="H102" s="59"/>
      <c r="I102" s="59"/>
      <c r="J102" s="59"/>
      <c r="K102" s="60"/>
      <c r="L102" s="60"/>
      <c r="M102" s="61"/>
      <c r="N102" s="62"/>
    </row>
    <row r="103" spans="1:14" s="24" customFormat="1" ht="15">
      <c r="A103" s="63"/>
      <c r="B103" s="70"/>
      <c r="C103" s="70"/>
      <c r="D103" s="70"/>
      <c r="E103" s="59"/>
      <c r="F103" s="59"/>
      <c r="G103" s="59"/>
      <c r="H103" s="59"/>
      <c r="I103" s="59"/>
      <c r="J103" s="59"/>
      <c r="K103" s="68"/>
      <c r="L103" s="65"/>
      <c r="M103" s="66"/>
      <c r="N103" s="66"/>
    </row>
    <row r="104" spans="1:14" s="24" customFormat="1" ht="15">
      <c r="A104" s="63"/>
      <c r="B104" s="70"/>
      <c r="C104" s="70"/>
      <c r="D104" s="70"/>
      <c r="E104" s="59"/>
      <c r="F104" s="59"/>
      <c r="G104" s="59"/>
      <c r="H104" s="59"/>
      <c r="I104" s="59"/>
      <c r="J104" s="59"/>
      <c r="K104" s="68"/>
      <c r="L104" s="65"/>
      <c r="M104" s="66"/>
      <c r="N104" s="66"/>
    </row>
    <row r="105" spans="1:14" s="24" customFormat="1" ht="15">
      <c r="A105" s="69"/>
      <c r="B105" s="70"/>
      <c r="C105" s="70"/>
      <c r="D105" s="70"/>
      <c r="E105" s="59"/>
      <c r="F105" s="59"/>
      <c r="G105" s="59"/>
      <c r="H105" s="59"/>
      <c r="I105" s="59"/>
      <c r="J105" s="59"/>
      <c r="K105" s="68"/>
      <c r="L105" s="65"/>
      <c r="M105" s="66"/>
      <c r="N105" s="66"/>
    </row>
    <row r="106" spans="1:14" s="24" customFormat="1" ht="12.75">
      <c r="A106" s="63"/>
      <c r="B106" s="67"/>
      <c r="C106" s="67"/>
      <c r="D106" s="67"/>
      <c r="E106" s="67"/>
      <c r="F106" s="67"/>
      <c r="G106" s="67"/>
      <c r="H106" s="67"/>
      <c r="I106" s="67"/>
      <c r="J106" s="67"/>
      <c r="K106" s="68"/>
      <c r="L106" s="84"/>
      <c r="M106" s="66"/>
      <c r="N106" s="66"/>
    </row>
    <row r="107" spans="1:14" s="24" customFormat="1" ht="15">
      <c r="A107" s="7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60"/>
      <c r="M107" s="72"/>
      <c r="N107" s="73"/>
    </row>
    <row r="108" spans="1:14" s="24" customFormat="1" ht="12.7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1:14" s="24" customFormat="1" ht="15">
      <c r="A109" s="60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8"/>
    </row>
    <row r="110" spans="1:14" s="24" customFormat="1" ht="12.75">
      <c r="A110" s="80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</row>
    <row r="111" spans="1:14" s="24" customFormat="1" ht="15">
      <c r="A111" s="76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58"/>
    </row>
    <row r="112" spans="1:14" s="24" customFormat="1" ht="1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60"/>
      <c r="L112" s="60"/>
      <c r="M112" s="61"/>
      <c r="N112" s="62"/>
    </row>
    <row r="113" spans="1:14" s="24" customFormat="1" ht="15">
      <c r="A113" s="63"/>
      <c r="B113" s="70"/>
      <c r="C113" s="70"/>
      <c r="D113" s="70"/>
      <c r="E113" s="59"/>
      <c r="F113" s="59"/>
      <c r="G113" s="59"/>
      <c r="H113" s="59"/>
      <c r="I113" s="59"/>
      <c r="J113" s="59"/>
      <c r="K113" s="69"/>
      <c r="L113" s="85"/>
      <c r="M113" s="66"/>
      <c r="N113" s="66"/>
    </row>
    <row r="114" spans="1:14" s="24" customFormat="1" ht="15">
      <c r="A114" s="63"/>
      <c r="B114" s="70"/>
      <c r="C114" s="70"/>
      <c r="D114" s="70"/>
      <c r="E114" s="59"/>
      <c r="F114" s="59"/>
      <c r="G114" s="59"/>
      <c r="H114" s="59"/>
      <c r="I114" s="59"/>
      <c r="J114" s="59"/>
      <c r="K114" s="69"/>
      <c r="L114" s="85"/>
      <c r="M114" s="66"/>
      <c r="N114" s="66"/>
    </row>
    <row r="115" spans="1:17" s="24" customFormat="1" ht="24.75" customHeight="1">
      <c r="A115" s="68"/>
      <c r="B115" s="67"/>
      <c r="C115" s="67"/>
      <c r="D115" s="67"/>
      <c r="E115" s="67"/>
      <c r="F115" s="67"/>
      <c r="G115" s="67"/>
      <c r="H115" s="67"/>
      <c r="I115" s="67"/>
      <c r="J115" s="67"/>
      <c r="K115" s="68"/>
      <c r="L115" s="65"/>
      <c r="M115" s="66"/>
      <c r="N115" s="66"/>
      <c r="O115" s="94"/>
      <c r="P115" s="94"/>
      <c r="Q115" s="94"/>
    </row>
    <row r="116" spans="1:14" s="24" customFormat="1" ht="12.75">
      <c r="A116" s="63"/>
      <c r="B116" s="67"/>
      <c r="C116" s="67"/>
      <c r="D116" s="67"/>
      <c r="E116" s="67"/>
      <c r="F116" s="67"/>
      <c r="G116" s="67"/>
      <c r="H116" s="67"/>
      <c r="I116" s="67"/>
      <c r="J116" s="67"/>
      <c r="K116" s="69"/>
      <c r="L116" s="86"/>
      <c r="M116" s="66"/>
      <c r="N116" s="66"/>
    </row>
    <row r="117" spans="1:14" s="24" customFormat="1" ht="15">
      <c r="A117" s="7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60"/>
      <c r="M117" s="72"/>
      <c r="N117" s="73"/>
    </row>
    <row r="118" spans="1:14" s="24" customFormat="1" ht="12.7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</row>
    <row r="119" spans="1:14" s="24" customFormat="1" ht="12.7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</row>
    <row r="120" spans="1:14" s="24" customFormat="1" ht="15">
      <c r="A120" s="60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8"/>
    </row>
    <row r="121" spans="1:14" s="24" customFormat="1" ht="12.75">
      <c r="A121" s="80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</row>
    <row r="122" spans="1:14" s="24" customFormat="1" ht="15">
      <c r="A122" s="7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58"/>
    </row>
    <row r="123" spans="1:14" s="24" customFormat="1" ht="15">
      <c r="A123" s="58"/>
      <c r="B123" s="59"/>
      <c r="C123" s="59"/>
      <c r="D123" s="59"/>
      <c r="E123" s="59"/>
      <c r="F123" s="59"/>
      <c r="G123" s="59"/>
      <c r="H123" s="59"/>
      <c r="I123" s="59"/>
      <c r="J123" s="59"/>
      <c r="K123" s="60"/>
      <c r="L123" s="60"/>
      <c r="M123" s="61"/>
      <c r="N123" s="62"/>
    </row>
    <row r="124" spans="1:14" s="24" customFormat="1" ht="15">
      <c r="A124" s="63"/>
      <c r="B124" s="70"/>
      <c r="C124" s="70"/>
      <c r="D124" s="70"/>
      <c r="E124" s="59"/>
      <c r="F124" s="59"/>
      <c r="G124" s="59"/>
      <c r="H124" s="59"/>
      <c r="I124" s="59"/>
      <c r="J124" s="59"/>
      <c r="K124" s="69"/>
      <c r="L124" s="65"/>
      <c r="M124" s="66"/>
      <c r="N124" s="66"/>
    </row>
    <row r="125" spans="1:14" s="24" customFormat="1" ht="15">
      <c r="A125" s="63"/>
      <c r="B125" s="70"/>
      <c r="C125" s="70"/>
      <c r="D125" s="70"/>
      <c r="E125" s="59"/>
      <c r="F125" s="59"/>
      <c r="G125" s="59"/>
      <c r="H125" s="59"/>
      <c r="I125" s="59"/>
      <c r="J125" s="59"/>
      <c r="K125" s="69"/>
      <c r="L125" s="65"/>
      <c r="M125" s="66"/>
      <c r="N125" s="66"/>
    </row>
    <row r="126" spans="1:14" s="24" customFormat="1" ht="12.75" customHeight="1">
      <c r="A126" s="69"/>
      <c r="B126" s="70"/>
      <c r="C126" s="70"/>
      <c r="D126" s="70"/>
      <c r="E126" s="59"/>
      <c r="F126" s="59"/>
      <c r="G126" s="59"/>
      <c r="H126" s="59"/>
      <c r="I126" s="59"/>
      <c r="J126" s="59"/>
      <c r="K126" s="69"/>
      <c r="L126" s="65"/>
      <c r="M126" s="66"/>
      <c r="N126" s="66"/>
    </row>
    <row r="127" spans="1:14" s="24" customFormat="1" ht="12.75">
      <c r="A127" s="63"/>
      <c r="B127" s="67"/>
      <c r="C127" s="67"/>
      <c r="D127" s="67"/>
      <c r="E127" s="67"/>
      <c r="F127" s="67"/>
      <c r="G127" s="67"/>
      <c r="H127" s="67"/>
      <c r="I127" s="67"/>
      <c r="J127" s="67"/>
      <c r="K127" s="69"/>
      <c r="L127" s="84"/>
      <c r="M127" s="66"/>
      <c r="N127" s="66"/>
    </row>
    <row r="128" spans="1:14" s="24" customFormat="1" ht="15">
      <c r="A128" s="71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60"/>
      <c r="M128" s="72"/>
      <c r="N128" s="73"/>
    </row>
    <row r="129" spans="1:14" s="24" customFormat="1" ht="12.7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</row>
    <row r="130" spans="1:14" s="24" customFormat="1" ht="12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</row>
    <row r="131" spans="1:14" s="24" customFormat="1" ht="15">
      <c r="A131" s="60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8"/>
    </row>
    <row r="132" spans="1:14" s="24" customFormat="1" ht="12.75">
      <c r="A132" s="80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</row>
    <row r="133" spans="1:14" s="24" customFormat="1" ht="15">
      <c r="A133" s="76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58"/>
    </row>
    <row r="134" spans="1:14" s="24" customFormat="1" ht="15">
      <c r="A134" s="58"/>
      <c r="B134" s="59"/>
      <c r="C134" s="59"/>
      <c r="D134" s="59"/>
      <c r="E134" s="59"/>
      <c r="F134" s="59"/>
      <c r="G134" s="59"/>
      <c r="H134" s="59"/>
      <c r="I134" s="59"/>
      <c r="J134" s="59"/>
      <c r="K134" s="60"/>
      <c r="L134" s="60"/>
      <c r="M134" s="61"/>
      <c r="N134" s="62"/>
    </row>
    <row r="135" spans="1:14" s="24" customFormat="1" ht="15">
      <c r="A135" s="63"/>
      <c r="B135" s="70"/>
      <c r="C135" s="70"/>
      <c r="D135" s="70"/>
      <c r="E135" s="59"/>
      <c r="F135" s="59"/>
      <c r="G135" s="59"/>
      <c r="H135" s="59"/>
      <c r="I135" s="59"/>
      <c r="J135" s="59"/>
      <c r="K135" s="69"/>
      <c r="L135" s="65"/>
      <c r="M135" s="66"/>
      <c r="N135" s="66"/>
    </row>
    <row r="136" spans="1:14" s="24" customFormat="1" ht="15">
      <c r="A136" s="63"/>
      <c r="B136" s="70"/>
      <c r="C136" s="70"/>
      <c r="D136" s="70"/>
      <c r="E136" s="59"/>
      <c r="F136" s="59"/>
      <c r="G136" s="59"/>
      <c r="H136" s="59"/>
      <c r="I136" s="59"/>
      <c r="J136" s="59"/>
      <c r="K136" s="69"/>
      <c r="L136" s="65"/>
      <c r="M136" s="66"/>
      <c r="N136" s="66"/>
    </row>
    <row r="137" spans="1:14" s="24" customFormat="1" ht="12.75" customHeight="1">
      <c r="A137" s="69"/>
      <c r="B137" s="70"/>
      <c r="C137" s="70"/>
      <c r="D137" s="70"/>
      <c r="E137" s="59"/>
      <c r="F137" s="59"/>
      <c r="G137" s="59"/>
      <c r="H137" s="59"/>
      <c r="I137" s="59"/>
      <c r="J137" s="59"/>
      <c r="K137" s="69"/>
      <c r="L137" s="65"/>
      <c r="M137" s="66"/>
      <c r="N137" s="66"/>
    </row>
    <row r="138" spans="1:14" s="24" customFormat="1" ht="24.75" customHeight="1">
      <c r="A138" s="63"/>
      <c r="B138" s="67"/>
      <c r="C138" s="67"/>
      <c r="D138" s="67"/>
      <c r="E138" s="67"/>
      <c r="F138" s="67"/>
      <c r="G138" s="67"/>
      <c r="H138" s="67"/>
      <c r="I138" s="67"/>
      <c r="J138" s="67"/>
      <c r="K138" s="69"/>
      <c r="L138" s="84"/>
      <c r="M138" s="66"/>
      <c r="N138" s="66"/>
    </row>
    <row r="139" spans="1:14" s="24" customFormat="1" ht="15">
      <c r="A139" s="71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60"/>
      <c r="M139" s="72"/>
      <c r="N139" s="73"/>
    </row>
    <row r="140" spans="1:14" s="24" customFormat="1" ht="12.7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</row>
    <row r="141" spans="1:14" s="24" customFormat="1" ht="12.7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</row>
    <row r="142" spans="1:14" s="24" customFormat="1" ht="15">
      <c r="A142" s="60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8"/>
    </row>
    <row r="143" spans="1:14" s="24" customFormat="1" ht="12.75">
      <c r="A143" s="80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</row>
    <row r="144" spans="1:14" s="24" customFormat="1" ht="15">
      <c r="A144" s="76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58"/>
    </row>
    <row r="145" spans="1:14" s="24" customFormat="1" ht="1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60"/>
      <c r="L145" s="60"/>
      <c r="M145" s="61"/>
      <c r="N145" s="62"/>
    </row>
    <row r="146" spans="1:14" s="24" customFormat="1" ht="15">
      <c r="A146" s="63"/>
      <c r="B146" s="70"/>
      <c r="C146" s="70"/>
      <c r="D146" s="70"/>
      <c r="E146" s="59"/>
      <c r="F146" s="59"/>
      <c r="G146" s="59"/>
      <c r="H146" s="59"/>
      <c r="I146" s="59"/>
      <c r="J146" s="59"/>
      <c r="K146" s="69"/>
      <c r="L146" s="65"/>
      <c r="M146" s="66"/>
      <c r="N146" s="66"/>
    </row>
    <row r="147" spans="1:14" s="24" customFormat="1" ht="15">
      <c r="A147" s="63"/>
      <c r="B147" s="70"/>
      <c r="C147" s="70"/>
      <c r="D147" s="70"/>
      <c r="E147" s="59"/>
      <c r="F147" s="59"/>
      <c r="G147" s="59"/>
      <c r="H147" s="59"/>
      <c r="I147" s="59"/>
      <c r="J147" s="59"/>
      <c r="K147" s="69"/>
      <c r="L147" s="65"/>
      <c r="M147" s="66"/>
      <c r="N147" s="66"/>
    </row>
    <row r="148" spans="1:14" s="24" customFormat="1" ht="27" customHeight="1">
      <c r="A148" s="68"/>
      <c r="B148" s="67"/>
      <c r="C148" s="67"/>
      <c r="D148" s="67"/>
      <c r="E148" s="67"/>
      <c r="F148" s="67"/>
      <c r="G148" s="67"/>
      <c r="H148" s="67"/>
      <c r="I148" s="67"/>
      <c r="J148" s="67"/>
      <c r="K148" s="68"/>
      <c r="L148" s="65"/>
      <c r="M148" s="66"/>
      <c r="N148" s="66"/>
    </row>
    <row r="149" spans="1:14" s="24" customFormat="1" ht="38.25" customHeight="1">
      <c r="A149" s="68"/>
      <c r="B149" s="78"/>
      <c r="C149" s="78"/>
      <c r="D149" s="78"/>
      <c r="E149" s="78"/>
      <c r="F149" s="78"/>
      <c r="G149" s="78"/>
      <c r="H149" s="78"/>
      <c r="I149" s="78"/>
      <c r="J149" s="78"/>
      <c r="K149" s="69"/>
      <c r="L149" s="79"/>
      <c r="M149" s="66"/>
      <c r="N149" s="66"/>
    </row>
    <row r="150" spans="1:14" s="24" customFormat="1" ht="15">
      <c r="A150" s="71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60"/>
      <c r="M150" s="72"/>
      <c r="N150" s="73"/>
    </row>
    <row r="151" s="24" customFormat="1" ht="12.75">
      <c r="A151" s="14"/>
    </row>
    <row r="152" s="24" customFormat="1" ht="12.75">
      <c r="A152" s="14"/>
    </row>
    <row r="153" s="24" customFormat="1" ht="12.75">
      <c r="A153" s="14"/>
    </row>
    <row r="154" s="24" customFormat="1" ht="12.75">
      <c r="A154" s="14"/>
    </row>
    <row r="155" s="24" customFormat="1" ht="12.75">
      <c r="A155" s="14"/>
    </row>
    <row r="208" ht="23.25" customHeight="1"/>
    <row r="209" ht="21.75" customHeight="1"/>
    <row r="210" ht="25.5" customHeight="1"/>
    <row r="222" ht="28.5" customHeight="1"/>
    <row r="223" ht="24.75" customHeight="1"/>
  </sheetData>
  <mergeCells count="20">
    <mergeCell ref="H54:I54"/>
    <mergeCell ref="B52:K52"/>
    <mergeCell ref="B44:K44"/>
    <mergeCell ref="A4:B4"/>
    <mergeCell ref="A5:B5"/>
    <mergeCell ref="A6:B7"/>
    <mergeCell ref="A17:A18"/>
    <mergeCell ref="C4:M4"/>
    <mergeCell ref="C5:G5"/>
    <mergeCell ref="H7:I7"/>
    <mergeCell ref="H5:I6"/>
    <mergeCell ref="J7:M7"/>
    <mergeCell ref="J5:M6"/>
    <mergeCell ref="C6:G7"/>
    <mergeCell ref="A2:B2"/>
    <mergeCell ref="A1:M1"/>
    <mergeCell ref="J2:M2"/>
    <mergeCell ref="C2:G2"/>
    <mergeCell ref="A3:B3"/>
    <mergeCell ref="C3:M3"/>
  </mergeCells>
  <printOptions/>
  <pageMargins left="0.25" right="0.25" top="0.75" bottom="0.75" header="0.3" footer="0.3"/>
  <pageSetup fitToHeight="0" fitToWidth="1" horizontalDpi="600" verticalDpi="600" orientation="portrait" paperSize="9" scale="68" r:id="rId2"/>
  <rowBreaks count="1" manualBreakCount="1">
    <brk id="10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view="pageBreakPreview" zoomScaleSheetLayoutView="100" workbookViewId="0" topLeftCell="A1">
      <selection activeCell="J22" sqref="J22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8515625" style="0" customWidth="1"/>
    <col min="4" max="4" width="11.00390625" style="0" customWidth="1"/>
    <col min="5" max="5" width="9.8515625" style="0" customWidth="1"/>
    <col min="7" max="7" width="11.8515625" style="0" customWidth="1"/>
    <col min="10" max="10" width="10.00390625" style="0" bestFit="1" customWidth="1"/>
    <col min="11" max="11" width="11.28125" style="0" customWidth="1"/>
  </cols>
  <sheetData>
    <row r="1" spans="1:11" s="2" customFormat="1" ht="87" customHeight="1">
      <c r="A1" s="1082" t="s">
        <v>134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</row>
    <row r="2" spans="1:11" s="2" customFormat="1" ht="15">
      <c r="A2" s="1083" t="s">
        <v>57</v>
      </c>
      <c r="B2" s="1083"/>
      <c r="C2" s="1084" t="str">
        <f>'ORÇAMENTO NÃO DESONERADO'!B2</f>
        <v>PREFEITURA MUNICIPAL DE OURÉM</v>
      </c>
      <c r="D2" s="1084"/>
      <c r="E2" s="1084"/>
      <c r="F2" s="34" t="s">
        <v>95</v>
      </c>
      <c r="G2" s="34"/>
      <c r="H2" s="1085" t="s">
        <v>223</v>
      </c>
      <c r="I2" s="1085"/>
      <c r="J2" s="1085"/>
      <c r="K2" s="1085"/>
    </row>
    <row r="3" spans="1:11" s="2" customFormat="1" ht="15">
      <c r="A3" s="1083" t="s">
        <v>58</v>
      </c>
      <c r="B3" s="1083"/>
      <c r="C3" s="1087" t="str">
        <f>'ORÇAMENTO NÃO DESONERADO'!B3</f>
        <v>CONSTRUÇÃO DE TERMINAL RODOVIÁRIO ETAPA-02</v>
      </c>
      <c r="D3" s="1087"/>
      <c r="E3" s="1087"/>
      <c r="F3" s="1087"/>
      <c r="G3" s="1087"/>
      <c r="H3" s="1087"/>
      <c r="I3" s="1087"/>
      <c r="J3" s="1087"/>
      <c r="K3" s="1087"/>
    </row>
    <row r="4" spans="1:11" s="2" customFormat="1" ht="15" customHeight="1">
      <c r="A4" s="1086" t="s">
        <v>59</v>
      </c>
      <c r="B4" s="1086"/>
      <c r="C4" s="1084" t="str">
        <f>'ORÇAMENTO NÃO DESONERADO'!B4</f>
        <v>RUA JOAQUIM DIONISIO COM RUA PERSEVERANDO S/N. PRAÇA DO TERMINAL OURÉM/PA</v>
      </c>
      <c r="D4" s="1084"/>
      <c r="E4" s="1084"/>
      <c r="F4" s="1084"/>
      <c r="G4" s="1084"/>
      <c r="H4" s="1084"/>
      <c r="I4" s="1084"/>
      <c r="J4" s="1084"/>
      <c r="K4" s="1084"/>
    </row>
    <row r="5" spans="1:11" s="2" customFormat="1" ht="15">
      <c r="A5" s="1083" t="s">
        <v>60</v>
      </c>
      <c r="B5" s="1083"/>
      <c r="C5" s="1079">
        <f>'BDI NÃO DESONERADO'!I25</f>
        <v>0.25</v>
      </c>
      <c r="D5" s="1079"/>
      <c r="E5" s="1079"/>
      <c r="F5" s="885" t="s">
        <v>36</v>
      </c>
      <c r="G5" s="885"/>
      <c r="H5" s="1081" t="str">
        <f>'ORÇAMENTO NÃO DESONERADO'!F6</f>
        <v>SINAPI - JULHO DE 2020</v>
      </c>
      <c r="I5" s="1081"/>
      <c r="J5" s="1081"/>
      <c r="K5" s="1081"/>
    </row>
    <row r="6" spans="1:11" s="2" customFormat="1" ht="15" customHeight="1">
      <c r="A6" s="1086" t="s">
        <v>96</v>
      </c>
      <c r="B6" s="1086"/>
      <c r="C6" s="1089" t="str">
        <f>'ORÇAMENTO NÃO DESONERADO'!B6</f>
        <v xml:space="preserve"> MARUZA BAPTISTA </v>
      </c>
      <c r="D6" s="1089"/>
      <c r="E6" s="1089"/>
      <c r="F6" s="983" t="s">
        <v>98</v>
      </c>
      <c r="G6" s="983"/>
      <c r="H6" s="1090" t="s">
        <v>99</v>
      </c>
      <c r="I6" s="1090"/>
      <c r="J6" s="1090"/>
      <c r="K6" s="1090"/>
    </row>
    <row r="7" spans="1:11" s="2" customFormat="1" ht="12.75">
      <c r="A7" s="1086"/>
      <c r="B7" s="1086"/>
      <c r="C7" s="1089"/>
      <c r="D7" s="1089"/>
      <c r="E7" s="1089"/>
      <c r="F7" s="983"/>
      <c r="G7" s="983"/>
      <c r="H7" s="1090"/>
      <c r="I7" s="1090"/>
      <c r="J7" s="1090"/>
      <c r="K7" s="1090"/>
    </row>
    <row r="8" spans="1:11" s="41" customFormat="1" ht="15" customHeight="1">
      <c r="A8" s="35"/>
      <c r="B8" s="35"/>
      <c r="C8" s="36"/>
      <c r="D8" s="36"/>
      <c r="E8" s="36"/>
      <c r="F8" s="36"/>
      <c r="G8" s="36"/>
      <c r="H8" s="38"/>
      <c r="I8" s="38"/>
      <c r="J8" s="38"/>
      <c r="K8" s="38"/>
    </row>
    <row r="9" spans="1:11" s="24" customFormat="1" ht="15" customHeight="1">
      <c r="A9" s="531">
        <f>A11</f>
        <v>3</v>
      </c>
      <c r="B9" s="351" t="str">
        <f>B11</f>
        <v>PAVIMENTAÇÃO EXTERNA</v>
      </c>
      <c r="C9" s="465"/>
      <c r="D9" s="465"/>
      <c r="E9" s="465"/>
      <c r="F9" s="465"/>
      <c r="G9" s="465"/>
      <c r="H9" s="465"/>
      <c r="I9" s="465"/>
      <c r="J9" s="465"/>
      <c r="K9" s="532"/>
    </row>
    <row r="10" s="24" customFormat="1" ht="14.25"/>
    <row r="11" spans="1:11" s="24" customFormat="1" ht="15">
      <c r="A11" s="446">
        <f>'ORÇAMENTO NÃO DESONERADO'!A20</f>
        <v>3</v>
      </c>
      <c r="B11" s="90" t="str">
        <f>'ORÇAMENTO NÃO DESONERADO'!C20</f>
        <v>PAVIMENTAÇÃO EXTERNA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s="24" customFormat="1" ht="28.5" customHeight="1">
      <c r="A12" s="88" t="str">
        <f>'ORÇAMENTO NÃO DESONERADO'!A22</f>
        <v>3.1</v>
      </c>
      <c r="B12" s="1091" t="str">
        <f>'ORÇAMENTO NÃO DESONERADO'!C22</f>
        <v>EXECUÇÃO DE PASSEIO (CALÇADA) OU PISO DE CONCRETO COM CONCRETO MOLDADO IN LOCO, FEITO EM OBRA, ACABAMENTO CONVENCIONAL, NÃO ARMADO. AF_07/2016</v>
      </c>
      <c r="C12" s="1091"/>
      <c r="D12" s="1091"/>
      <c r="E12" s="1091"/>
      <c r="F12" s="1091"/>
      <c r="G12" s="1091"/>
      <c r="H12" s="1091"/>
      <c r="I12" s="1091"/>
      <c r="J12" s="1091"/>
      <c r="K12" s="1091"/>
    </row>
    <row r="13" spans="1:11" s="24" customFormat="1" ht="14.25">
      <c r="A13" s="91"/>
      <c r="H13" s="91"/>
      <c r="I13" s="91"/>
      <c r="J13" s="91"/>
      <c r="K13" s="91"/>
    </row>
    <row r="14" spans="1:8" s="24" customFormat="1" ht="15">
      <c r="A14" s="91"/>
      <c r="B14" s="267" t="s">
        <v>280</v>
      </c>
      <c r="C14" s="268"/>
      <c r="D14" s="268"/>
      <c r="E14" s="18"/>
      <c r="F14" s="18"/>
      <c r="G14" s="18"/>
      <c r="H14" s="91"/>
    </row>
    <row r="15" spans="1:8" s="24" customFormat="1" ht="15">
      <c r="A15" s="91"/>
      <c r="B15" s="267" t="s">
        <v>767</v>
      </c>
      <c r="C15" s="268"/>
      <c r="D15" s="268"/>
      <c r="E15" s="277"/>
      <c r="F15" s="277"/>
      <c r="G15" s="277"/>
      <c r="H15" s="91"/>
    </row>
    <row r="16" spans="1:8" s="24" customFormat="1" ht="14.25">
      <c r="A16" s="20"/>
      <c r="B16" s="265"/>
      <c r="C16" s="18"/>
      <c r="D16" s="18"/>
      <c r="E16" s="18"/>
      <c r="F16" s="18"/>
      <c r="G16" s="157"/>
      <c r="H16" s="91"/>
    </row>
    <row r="17" spans="1:10" s="24" customFormat="1" ht="15">
      <c r="A17" s="747"/>
      <c r="B17" s="747"/>
      <c r="C17" s="747"/>
      <c r="D17" s="747"/>
      <c r="E17" s="747"/>
      <c r="F17" s="184" t="s">
        <v>768</v>
      </c>
      <c r="G17" s="747"/>
      <c r="H17" s="266" t="s">
        <v>18</v>
      </c>
      <c r="I17" s="747"/>
      <c r="J17" s="747"/>
    </row>
    <row r="18" spans="1:10" s="24" customFormat="1" ht="15">
      <c r="A18" s="286"/>
      <c r="B18" s="746" t="s">
        <v>683</v>
      </c>
      <c r="C18" s="746" t="s">
        <v>684</v>
      </c>
      <c r="D18" s="746" t="s">
        <v>685</v>
      </c>
      <c r="E18" s="746" t="s">
        <v>686</v>
      </c>
      <c r="F18" s="184" t="s">
        <v>769</v>
      </c>
      <c r="G18" s="266"/>
      <c r="H18" s="266" t="s">
        <v>763</v>
      </c>
      <c r="I18" s="157"/>
      <c r="J18" s="157"/>
    </row>
    <row r="19" spans="1:10" s="24" customFormat="1" ht="14.25">
      <c r="A19" s="141" t="s">
        <v>161</v>
      </c>
      <c r="B19" s="781">
        <v>27.45</v>
      </c>
      <c r="C19" s="781">
        <v>35.25</v>
      </c>
      <c r="D19" s="781">
        <v>35.25</v>
      </c>
      <c r="E19" s="781">
        <v>62.2</v>
      </c>
      <c r="F19" s="781">
        <f>80.1-(2.34*4.15)</f>
        <v>70.389</v>
      </c>
      <c r="G19" s="326" t="s">
        <v>29</v>
      </c>
      <c r="H19" s="149">
        <f>SUM(C19:F20)</f>
        <v>203.089</v>
      </c>
      <c r="I19" s="266" t="s">
        <v>28</v>
      </c>
      <c r="J19" s="149">
        <v>0.05</v>
      </c>
    </row>
    <row r="20" spans="1:8" s="24" customFormat="1" ht="14.25">
      <c r="A20" s="20"/>
      <c r="B20" s="20"/>
      <c r="C20" s="20"/>
      <c r="D20" s="20"/>
      <c r="E20" s="20"/>
      <c r="F20" s="780" t="s">
        <v>770</v>
      </c>
      <c r="G20" s="157"/>
      <c r="H20" s="91"/>
    </row>
    <row r="21" spans="1:8" s="24" customFormat="1" ht="14.25">
      <c r="A21" s="20"/>
      <c r="B21" s="20"/>
      <c r="C21" s="20"/>
      <c r="D21" s="20"/>
      <c r="E21" s="20"/>
      <c r="F21" s="780" t="s">
        <v>771</v>
      </c>
      <c r="G21" s="157"/>
      <c r="H21" s="91"/>
    </row>
    <row r="22" spans="1:8" s="24" customFormat="1" ht="14.25">
      <c r="A22" s="20"/>
      <c r="B22" s="20"/>
      <c r="C22" s="20"/>
      <c r="D22" s="20"/>
      <c r="E22" s="20"/>
      <c r="F22" s="780" t="s">
        <v>772</v>
      </c>
      <c r="G22" s="157"/>
      <c r="H22" s="91"/>
    </row>
    <row r="23" spans="1:8" s="24" customFormat="1" ht="14.25">
      <c r="A23" s="20"/>
      <c r="B23" s="20"/>
      <c r="C23" s="20"/>
      <c r="D23" s="20"/>
      <c r="E23" s="20"/>
      <c r="F23" s="20"/>
      <c r="G23" s="157"/>
      <c r="H23" s="91"/>
    </row>
    <row r="24" spans="1:11" s="24" customFormat="1" ht="14.25">
      <c r="A24" s="91"/>
      <c r="B24" s="15" t="s">
        <v>106</v>
      </c>
      <c r="C24" s="22">
        <f>ROUND(H19*J19,2)</f>
        <v>10.15</v>
      </c>
      <c r="D24" s="23" t="s">
        <v>1</v>
      </c>
      <c r="H24" s="91"/>
      <c r="I24" s="91"/>
      <c r="J24" s="91"/>
      <c r="K24" s="91"/>
    </row>
    <row r="25" spans="1:11" s="24" customFormat="1" ht="14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2.75" customHeight="1">
      <c r="A26" s="216" t="str">
        <f>'ORÇAMENTO NÃO DESONERADO'!A24</f>
        <v>3.2</v>
      </c>
      <c r="B26" s="272" t="str">
        <f>'ORÇAMENTO NÃO DESONERADO'!C24</f>
        <v>PISO TÁTIL EM LADRILHO HIDRÁULICO DIRECIONAL E ALERTA, DIMENSÕES 20X20CM, E=2CM. INCL. PERDAS.</v>
      </c>
      <c r="C26" s="271"/>
      <c r="D26" s="271"/>
      <c r="E26" s="271"/>
      <c r="F26" s="271"/>
      <c r="G26" s="271"/>
      <c r="H26" s="271"/>
      <c r="I26" s="271"/>
      <c r="J26" s="271"/>
      <c r="K26" s="271"/>
    </row>
    <row r="27" spans="1:11" ht="12.75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</row>
    <row r="28" spans="1:11" ht="15">
      <c r="A28" s="270"/>
      <c r="B28" s="403" t="s">
        <v>383</v>
      </c>
      <c r="C28" s="270"/>
      <c r="D28" s="270"/>
      <c r="E28" s="270"/>
      <c r="F28" s="270"/>
      <c r="G28" s="270"/>
      <c r="H28" s="270"/>
      <c r="I28" s="270"/>
      <c r="J28" s="270"/>
      <c r="K28" s="270"/>
    </row>
    <row r="29" spans="1:11" ht="12.75">
      <c r="A29" s="270"/>
      <c r="B29" s="270"/>
      <c r="C29" s="1088" t="s">
        <v>384</v>
      </c>
      <c r="D29" s="1088"/>
      <c r="E29" s="1088"/>
      <c r="F29" s="1088"/>
      <c r="G29" s="1088"/>
      <c r="H29" s="1088"/>
      <c r="I29" s="1088"/>
      <c r="J29" s="1088"/>
      <c r="K29" s="1088"/>
    </row>
    <row r="30" spans="1:11" ht="12.75">
      <c r="A30" s="270"/>
      <c r="B30" s="404" t="s">
        <v>32</v>
      </c>
      <c r="C30" s="331">
        <v>2.25</v>
      </c>
      <c r="D30" s="399" t="s">
        <v>93</v>
      </c>
      <c r="E30" s="331">
        <v>2</v>
      </c>
      <c r="F30" s="399" t="s">
        <v>93</v>
      </c>
      <c r="G30" s="331">
        <v>2</v>
      </c>
      <c r="H30" s="399"/>
      <c r="I30" s="331"/>
      <c r="J30" s="399"/>
      <c r="K30" s="331"/>
    </row>
    <row r="31" spans="1:11" ht="12.75">
      <c r="A31" s="270"/>
      <c r="B31" s="270"/>
      <c r="C31" s="331">
        <v>2.8</v>
      </c>
      <c r="D31" s="399" t="s">
        <v>93</v>
      </c>
      <c r="E31" s="331">
        <v>4.73</v>
      </c>
      <c r="F31" s="399" t="s">
        <v>93</v>
      </c>
      <c r="G31" s="331">
        <v>4.2</v>
      </c>
      <c r="H31" s="399" t="s">
        <v>29</v>
      </c>
      <c r="I31" s="331">
        <f>SUM(C30:G32)</f>
        <v>25.380000000000003</v>
      </c>
      <c r="J31" s="399" t="s">
        <v>70</v>
      </c>
      <c r="K31" s="331"/>
    </row>
    <row r="32" spans="1:11" ht="12.75">
      <c r="A32" s="270"/>
      <c r="B32" s="270"/>
      <c r="C32" s="331">
        <v>0.8</v>
      </c>
      <c r="D32" s="399" t="s">
        <v>93</v>
      </c>
      <c r="E32" s="331">
        <v>6.6</v>
      </c>
      <c r="I32" s="331"/>
      <c r="J32" s="331"/>
      <c r="K32" s="331"/>
    </row>
    <row r="33" spans="1:11" ht="12.75">
      <c r="A33" s="270"/>
      <c r="B33" s="270"/>
      <c r="C33" s="309"/>
      <c r="D33" s="309"/>
      <c r="E33" s="309"/>
      <c r="F33" s="309"/>
      <c r="G33" s="309"/>
      <c r="H33" s="309"/>
      <c r="I33" s="309"/>
      <c r="J33" s="309"/>
      <c r="K33" s="309"/>
    </row>
    <row r="34" spans="1:11" ht="12.75">
      <c r="A34" s="270"/>
      <c r="B34" s="270"/>
      <c r="C34" s="331" t="str">
        <f>C29</f>
        <v>Somatória dos comprimentos</v>
      </c>
      <c r="D34" s="331"/>
      <c r="E34" s="399" t="s">
        <v>34</v>
      </c>
      <c r="F34" s="309"/>
      <c r="G34" s="309"/>
      <c r="H34" s="309"/>
      <c r="I34" s="309"/>
      <c r="J34" s="309"/>
      <c r="K34" s="309"/>
    </row>
    <row r="35" spans="1:11" ht="12.75">
      <c r="A35" s="270"/>
      <c r="B35" s="368" t="s">
        <v>385</v>
      </c>
      <c r="C35" s="331">
        <f>I31</f>
        <v>25.380000000000003</v>
      </c>
      <c r="D35" s="400" t="s">
        <v>28</v>
      </c>
      <c r="E35" s="331">
        <v>0.2</v>
      </c>
      <c r="F35" s="399" t="s">
        <v>29</v>
      </c>
      <c r="G35" s="401">
        <f>ROUND((C35*E35),2)</f>
        <v>5.08</v>
      </c>
      <c r="H35" s="402" t="s">
        <v>2</v>
      </c>
      <c r="I35" s="270"/>
      <c r="J35" s="270"/>
      <c r="K35" s="270"/>
    </row>
    <row r="36" spans="1:11" ht="12.75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</row>
    <row r="37" spans="1:11" ht="15">
      <c r="A37" s="270"/>
      <c r="B37" s="403" t="s">
        <v>386</v>
      </c>
      <c r="C37" s="270"/>
      <c r="D37" s="270"/>
      <c r="E37" s="270"/>
      <c r="F37" s="270"/>
      <c r="G37" s="270"/>
      <c r="H37" s="270"/>
      <c r="I37" s="270"/>
      <c r="J37" s="270"/>
      <c r="K37" s="270"/>
    </row>
    <row r="38" spans="1:11" ht="12.75">
      <c r="A38" s="270"/>
      <c r="B38" s="270"/>
      <c r="C38" s="368" t="s">
        <v>384</v>
      </c>
      <c r="D38" s="270"/>
      <c r="E38" s="270"/>
      <c r="F38" s="270"/>
      <c r="G38" s="270"/>
      <c r="H38" s="270"/>
      <c r="I38" s="270"/>
      <c r="J38" s="270"/>
      <c r="K38" s="270"/>
    </row>
    <row r="39" spans="1:11" ht="12.75">
      <c r="A39" s="270"/>
      <c r="B39" s="270"/>
      <c r="C39" s="368" t="s">
        <v>387</v>
      </c>
      <c r="D39" s="270"/>
      <c r="E39" s="404" t="s">
        <v>388</v>
      </c>
      <c r="F39" s="270"/>
      <c r="G39" s="270"/>
      <c r="H39" s="270"/>
      <c r="I39" s="270"/>
      <c r="J39" s="270"/>
      <c r="K39" s="270"/>
    </row>
    <row r="40" spans="1:11" ht="12.75">
      <c r="A40" s="270"/>
      <c r="B40" s="404" t="s">
        <v>32</v>
      </c>
      <c r="C40" s="331">
        <v>0.6</v>
      </c>
      <c r="D40" s="399" t="s">
        <v>28</v>
      </c>
      <c r="E40" s="331">
        <v>5</v>
      </c>
      <c r="F40" s="399" t="s">
        <v>29</v>
      </c>
      <c r="G40" s="331">
        <f>ROUND((C40*E40),2)</f>
        <v>3</v>
      </c>
      <c r="H40" s="399" t="s">
        <v>70</v>
      </c>
      <c r="I40" s="331"/>
      <c r="J40" s="399"/>
      <c r="K40" s="331"/>
    </row>
    <row r="41" spans="1:11" ht="12.75">
      <c r="A41" s="270"/>
      <c r="B41" s="404"/>
      <c r="C41" s="331">
        <v>0.4</v>
      </c>
      <c r="D41" s="399" t="s">
        <v>28</v>
      </c>
      <c r="E41" s="331">
        <v>4</v>
      </c>
      <c r="F41" s="399" t="s">
        <v>29</v>
      </c>
      <c r="G41" s="331">
        <f>ROUND((C41*E41),2)</f>
        <v>1.6</v>
      </c>
      <c r="H41" s="399" t="s">
        <v>70</v>
      </c>
      <c r="I41" s="331"/>
      <c r="J41" s="399"/>
      <c r="K41" s="331"/>
    </row>
    <row r="42" spans="1:11" ht="12.75">
      <c r="A42" s="270"/>
      <c r="B42" s="270"/>
      <c r="C42" s="331">
        <v>4</v>
      </c>
      <c r="D42" s="399" t="s">
        <v>28</v>
      </c>
      <c r="E42" s="331">
        <v>6</v>
      </c>
      <c r="F42" s="399" t="s">
        <v>29</v>
      </c>
      <c r="G42" s="331">
        <f>ROUND((C42*E42),2)</f>
        <v>24</v>
      </c>
      <c r="H42" s="399" t="s">
        <v>70</v>
      </c>
      <c r="I42" s="331"/>
      <c r="J42" s="399"/>
      <c r="K42" s="331"/>
    </row>
    <row r="43" spans="1:11" ht="12.75">
      <c r="A43" s="270"/>
      <c r="B43" s="270"/>
      <c r="C43" s="331"/>
      <c r="D43" s="399"/>
      <c r="E43" s="331"/>
      <c r="J43" s="331"/>
      <c r="K43" s="331"/>
    </row>
    <row r="44" spans="1:11" ht="12.75">
      <c r="A44" s="270"/>
      <c r="B44" s="270"/>
      <c r="C44" s="331" t="str">
        <f>C38</f>
        <v>Somatória dos comprimentos</v>
      </c>
      <c r="D44" s="331"/>
      <c r="E44" s="399" t="s">
        <v>34</v>
      </c>
      <c r="F44" s="309"/>
      <c r="G44" s="309"/>
      <c r="H44" s="309"/>
      <c r="I44" s="309"/>
      <c r="J44" s="309"/>
      <c r="K44" s="309"/>
    </row>
    <row r="45" spans="1:11" ht="12.75">
      <c r="A45" s="270"/>
      <c r="B45" s="368" t="s">
        <v>385</v>
      </c>
      <c r="C45" s="331">
        <f>SUM(G40:G42)</f>
        <v>28.6</v>
      </c>
      <c r="D45" s="400" t="s">
        <v>28</v>
      </c>
      <c r="E45" s="331">
        <v>0.2</v>
      </c>
      <c r="F45" s="399" t="s">
        <v>29</v>
      </c>
      <c r="G45" s="401">
        <f>ROUND((C45*E45),2)</f>
        <v>5.72</v>
      </c>
      <c r="H45" s="402" t="s">
        <v>2</v>
      </c>
      <c r="I45" s="270"/>
      <c r="J45" s="270"/>
      <c r="K45" s="270"/>
    </row>
    <row r="46" spans="1:11" ht="12.75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</row>
    <row r="47" spans="2:7" ht="14.25">
      <c r="B47" s="15" t="s">
        <v>106</v>
      </c>
      <c r="C47" s="22">
        <f>G35+G45</f>
        <v>10.8</v>
      </c>
      <c r="D47" s="23" t="s">
        <v>2</v>
      </c>
      <c r="E47" s="157"/>
      <c r="F47" s="157"/>
      <c r="G47" s="270"/>
    </row>
    <row r="48" spans="5:7" ht="12.75">
      <c r="E48" s="270"/>
      <c r="F48" s="270"/>
      <c r="G48" s="270"/>
    </row>
    <row r="49" spans="1:11" ht="15">
      <c r="A49" s="536" t="str">
        <f>A51</f>
        <v>4.1</v>
      </c>
      <c r="B49" s="357" t="str">
        <f>'ORÇAMENTO NÃO DESONERADO'!C27</f>
        <v xml:space="preserve">URBANIZAÇÃO </v>
      </c>
      <c r="C49" s="465"/>
      <c r="D49" s="465"/>
      <c r="E49" s="465"/>
      <c r="F49" s="465"/>
      <c r="G49" s="465"/>
      <c r="H49" s="465"/>
      <c r="I49" s="465"/>
      <c r="J49" s="465"/>
      <c r="K49" s="465"/>
    </row>
    <row r="50" spans="1:11" ht="14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5">
      <c r="A51" s="446" t="str">
        <f>'ORÇAMENTO NÃO DESONERADO'!A28</f>
        <v>4.1</v>
      </c>
      <c r="B51" s="89" t="str">
        <f>'ORÇAMENTO NÃO DESONERADO'!C28</f>
        <v>VEGETAÇÃO</v>
      </c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5">
      <c r="A52" s="25"/>
      <c r="B52" s="267" t="s">
        <v>262</v>
      </c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5">
      <c r="A53" s="25"/>
      <c r="B53" s="89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5">
      <c r="A54" s="25"/>
      <c r="B54" s="1093" t="s">
        <v>261</v>
      </c>
      <c r="C54" s="1094"/>
      <c r="D54" s="24"/>
      <c r="E54" s="24"/>
      <c r="F54" s="274"/>
      <c r="G54" s="274"/>
      <c r="H54" s="24"/>
      <c r="I54" s="24"/>
      <c r="J54" s="24"/>
      <c r="K54" s="24"/>
    </row>
    <row r="55" spans="1:11" ht="15">
      <c r="A55" s="25"/>
      <c r="B55" s="537" t="s">
        <v>426</v>
      </c>
      <c r="C55" s="269">
        <v>2.36</v>
      </c>
      <c r="D55" s="24"/>
      <c r="E55" s="24"/>
      <c r="F55" s="274"/>
      <c r="G55" s="274"/>
      <c r="H55" s="24"/>
      <c r="I55" s="24"/>
      <c r="J55" s="24"/>
      <c r="K55" s="24"/>
    </row>
    <row r="56" spans="1:11" ht="15">
      <c r="A56" s="25"/>
      <c r="B56" s="537" t="s">
        <v>427</v>
      </c>
      <c r="C56" s="269">
        <v>0.92</v>
      </c>
      <c r="D56" s="24"/>
      <c r="E56" s="24"/>
      <c r="F56" s="275"/>
      <c r="G56" s="275"/>
      <c r="H56" s="24"/>
      <c r="I56" s="24"/>
      <c r="J56" s="24"/>
      <c r="K56" s="24"/>
    </row>
    <row r="57" spans="1:11" ht="15">
      <c r="A57" s="25"/>
      <c r="B57" s="537" t="s">
        <v>428</v>
      </c>
      <c r="C57" s="269">
        <v>0.92</v>
      </c>
      <c r="D57" s="24"/>
      <c r="E57" s="24"/>
      <c r="F57" s="275"/>
      <c r="G57" s="275"/>
      <c r="H57" s="24"/>
      <c r="I57" s="24"/>
      <c r="J57" s="24"/>
      <c r="K57" s="24"/>
    </row>
    <row r="58" spans="1:11" ht="15">
      <c r="A58" s="25"/>
      <c r="B58" s="537" t="s">
        <v>429</v>
      </c>
      <c r="C58" s="269">
        <v>2.36</v>
      </c>
      <c r="D58" s="24"/>
      <c r="E58" s="24"/>
      <c r="F58" s="275"/>
      <c r="G58" s="275"/>
      <c r="H58" s="24"/>
      <c r="I58" s="24"/>
      <c r="J58" s="24"/>
      <c r="K58" s="24"/>
    </row>
    <row r="59" spans="1:11" ht="15">
      <c r="A59" s="25"/>
      <c r="B59" s="537" t="s">
        <v>430</v>
      </c>
      <c r="C59" s="398">
        <v>0.8</v>
      </c>
      <c r="D59" s="24"/>
      <c r="E59" s="24"/>
      <c r="F59" s="275"/>
      <c r="G59" s="275"/>
      <c r="H59" s="24"/>
      <c r="I59" s="24"/>
      <c r="J59" s="24"/>
      <c r="K59" s="24"/>
    </row>
    <row r="60" spans="1:11" ht="15">
      <c r="A60" s="25"/>
      <c r="B60" s="537" t="s">
        <v>431</v>
      </c>
      <c r="C60" s="398">
        <v>0.8</v>
      </c>
      <c r="D60" s="24"/>
      <c r="E60" s="24"/>
      <c r="F60" s="275"/>
      <c r="G60" s="275"/>
      <c r="H60" s="24"/>
      <c r="I60" s="24"/>
      <c r="J60" s="24"/>
      <c r="K60" s="24"/>
    </row>
    <row r="61" spans="1:11" ht="15">
      <c r="A61" s="25"/>
      <c r="B61" s="405" t="s">
        <v>92</v>
      </c>
      <c r="C61" s="269">
        <f>SUM(C55:C60)</f>
        <v>8.16</v>
      </c>
      <c r="D61" s="24"/>
      <c r="E61" s="24"/>
      <c r="F61" s="164"/>
      <c r="G61" s="164"/>
      <c r="H61" s="24"/>
      <c r="I61" s="24"/>
      <c r="J61" s="24"/>
      <c r="K61" s="24"/>
    </row>
    <row r="62" spans="1:11" ht="15">
      <c r="A62" s="25"/>
      <c r="B62" s="24"/>
      <c r="C62" s="217"/>
      <c r="D62" s="14"/>
      <c r="E62" s="217"/>
      <c r="F62" s="217"/>
      <c r="G62" s="217"/>
      <c r="H62" s="24"/>
      <c r="I62" s="24"/>
      <c r="J62" s="24"/>
      <c r="K62" s="24"/>
    </row>
    <row r="63" spans="1:11" ht="14.25">
      <c r="A63" s="24"/>
      <c r="B63" s="15" t="s">
        <v>106</v>
      </c>
      <c r="C63" s="22">
        <f>C61</f>
        <v>8.16</v>
      </c>
      <c r="D63" s="23" t="s">
        <v>77</v>
      </c>
      <c r="E63" s="24"/>
      <c r="F63" s="24"/>
      <c r="G63" s="24"/>
      <c r="H63" s="24"/>
      <c r="I63" s="24"/>
      <c r="J63" s="24"/>
      <c r="K63" s="24"/>
    </row>
    <row r="64" spans="1:11" ht="14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5">
      <c r="A65" s="25" t="str">
        <f>'ORÇAMENTO NÃO DESONERADO'!A30</f>
        <v>4.1.2</v>
      </c>
      <c r="B65" s="89" t="str">
        <f>'ORÇAMENTO NÃO DESONERADO'!C30</f>
        <v>PLANTIO DE ARBUSTO OU  CERCA VIVA. AF_05/2018</v>
      </c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4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4.25">
      <c r="A67" s="24"/>
      <c r="B67" s="15" t="s">
        <v>106</v>
      </c>
      <c r="C67" s="22">
        <v>50</v>
      </c>
      <c r="D67" s="23" t="s">
        <v>101</v>
      </c>
      <c r="E67" s="24"/>
      <c r="F67" s="24"/>
      <c r="G67" s="24"/>
      <c r="H67" s="24"/>
      <c r="I67" s="24"/>
      <c r="J67" s="24"/>
      <c r="K67" s="24"/>
    </row>
    <row r="68" spans="1:11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5">
      <c r="A69" s="25" t="str">
        <f>'ORÇAMENTO NÃO DESONERADO'!A31</f>
        <v>4.2</v>
      </c>
      <c r="B69" s="89" t="str">
        <f>'ORÇAMENTO NÃO DESONERADO'!C31</f>
        <v>LIXEIRA</v>
      </c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30" customHeight="1">
      <c r="A70" s="25" t="str">
        <f>'ORÇAMENTO NÃO DESONERADO'!A32</f>
        <v>4.2.1</v>
      </c>
      <c r="B70" s="1092" t="str">
        <f>'ORÇAMENTO NÃO DESONERADO'!C32</f>
        <v>LIXEIRA EM CESTO EM ESTRUTURA METALICA , BLOCO E APOIO EM CONCRETO - FORNECIMENTO E EXECUÇÃO</v>
      </c>
      <c r="C70" s="1092"/>
      <c r="D70" s="1092"/>
      <c r="E70" s="1092"/>
      <c r="F70" s="1092"/>
      <c r="G70" s="1092"/>
      <c r="H70" s="1092"/>
      <c r="I70" s="1092"/>
      <c r="J70" s="1092"/>
      <c r="K70" s="1092"/>
    </row>
    <row r="71" spans="1:11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4.25">
      <c r="A72" s="24"/>
      <c r="B72" s="15" t="s">
        <v>92</v>
      </c>
      <c r="C72" s="22">
        <v>4</v>
      </c>
      <c r="D72" s="23" t="s">
        <v>101</v>
      </c>
      <c r="E72" s="24"/>
      <c r="F72" s="24"/>
      <c r="G72" s="24"/>
      <c r="H72" s="24"/>
      <c r="I72" s="24"/>
      <c r="J72" s="24"/>
      <c r="K72" s="24"/>
    </row>
    <row r="73" spans="1:11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5">
      <c r="A74" s="25" t="str">
        <f>'ORÇAMENTO NÃO DESONERADO'!A33</f>
        <v>4.3</v>
      </c>
      <c r="B74" s="89" t="str">
        <f>'ORÇAMENTO NÃO DESONERADO'!C33</f>
        <v>BANCOS DE CONCRETO</v>
      </c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30" customHeight="1">
      <c r="A76" s="25" t="str">
        <f>'ORÇAMENTO NÃO DESONERADO'!A34</f>
        <v>4.3.1</v>
      </c>
      <c r="B76" s="1092" t="str">
        <f>'ORÇAMENTO NÃO DESONERADO'!C34</f>
        <v>BANCO EM CONCRETO ARMADO 1,95X0,5X0,45M - ACABAMENTO COM SELANTE ACRÍLICO PARA CONCRETO APARENTE</v>
      </c>
      <c r="C76" s="1092"/>
      <c r="D76" s="1092"/>
      <c r="E76" s="1092"/>
      <c r="F76" s="1092"/>
      <c r="G76" s="1092"/>
      <c r="H76" s="1092"/>
      <c r="I76" s="1092"/>
      <c r="J76" s="1092"/>
      <c r="K76" s="1092"/>
    </row>
    <row r="77" spans="1:11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4.25">
      <c r="A78" s="24"/>
      <c r="B78" s="15" t="s">
        <v>92</v>
      </c>
      <c r="C78" s="22">
        <v>4</v>
      </c>
      <c r="D78" s="23" t="s">
        <v>437</v>
      </c>
      <c r="E78" s="24"/>
      <c r="F78" s="24"/>
      <c r="G78" s="24"/>
      <c r="H78" s="24"/>
      <c r="I78" s="24"/>
      <c r="J78" s="24"/>
      <c r="K78" s="24"/>
    </row>
    <row r="79" spans="1:11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5">
      <c r="A80" s="25" t="str">
        <f>'ORÇAMENTO NÃO DESONERADO'!A35</f>
        <v>4.4</v>
      </c>
      <c r="B80" s="89" t="str">
        <f>'ORÇAMENTO NÃO DESONERADO'!C35</f>
        <v>CANTEIROS ELEVADOS</v>
      </c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60.75" customHeight="1">
      <c r="A81" s="25" t="str">
        <f>'ORÇAMENTO NÃO DESONERADO'!A36</f>
        <v>4.4.1</v>
      </c>
      <c r="B81" s="1092" t="str">
        <f>'ORÇAMENTO NÃO DESONERADO'!C36</f>
        <v>CANTEIRO ELEVADO PARA FLOREIRA - TIPO 1 - SOBRE VIGA BALDRAME DA EDIFICAÇÃO, COM ALVENARIA EM TIJOLOS CERÂMICOS MACIÇOS DE ESPESSURA 10CM IMPERMEABILIZADOS PELO LADO INTERNO, CHAPISCO, EMBOÇO, SELADOR E PINTURA TEXTURIZADA ACRÍLICA - INCLUSO TERRA VEGETAL</v>
      </c>
      <c r="C81" s="1092"/>
      <c r="D81" s="1092"/>
      <c r="E81" s="1092"/>
      <c r="F81" s="1092"/>
      <c r="G81" s="1092"/>
      <c r="H81" s="1092"/>
      <c r="I81" s="1092"/>
      <c r="J81" s="1092"/>
      <c r="K81" s="1092"/>
    </row>
    <row r="82" spans="1:11" ht="15">
      <c r="A82" s="25"/>
      <c r="B82" s="89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5">
      <c r="A83" s="25"/>
      <c r="B83" s="89" t="s">
        <v>430</v>
      </c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5">
      <c r="A84" s="25"/>
      <c r="B84" s="89" t="s">
        <v>431</v>
      </c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5">
      <c r="A85" s="25"/>
      <c r="B85" s="24"/>
      <c r="C85" s="15" t="s">
        <v>92</v>
      </c>
      <c r="D85" s="22">
        <v>2</v>
      </c>
      <c r="E85" s="23" t="s">
        <v>437</v>
      </c>
      <c r="F85" s="24"/>
      <c r="G85" s="24"/>
      <c r="H85" s="24"/>
      <c r="I85" s="24"/>
      <c r="J85" s="24"/>
      <c r="K85" s="24"/>
    </row>
    <row r="86" spans="1:11" ht="15">
      <c r="A86" s="273"/>
      <c r="B86" s="157"/>
      <c r="C86" s="277"/>
      <c r="D86" s="277"/>
      <c r="E86" s="277"/>
      <c r="F86" s="157"/>
      <c r="G86" s="157"/>
      <c r="H86" s="157"/>
      <c r="I86" s="157"/>
      <c r="J86" s="157"/>
      <c r="K86" s="157"/>
    </row>
    <row r="87" spans="1:11" ht="60.75" customHeight="1">
      <c r="A87" s="273" t="str">
        <f>'ORÇAMENTO NÃO DESONERADO'!A37</f>
        <v>4.4.2</v>
      </c>
      <c r="B87" s="1092" t="str">
        <f>'ORÇAMENTO NÃO DESONERADO'!C37</f>
        <v>CANTEIRO ELEVADO PARA FLOREIRA - TIPO 2 - COM BALDRAMEEM CONCRETO CICLÓPICO IMPERMEABILIZADO, ALVENARIA EM TIJOLOS CERÂMICOS MACIÇOS DE ESPESSURA 10CM IMPERMEABILIZADOS PELO LADO INTERNO, CHAPISCO, EMBOÇO, SELADOR E PINTURA TEXTURIZADA ACRÍLICA - INCLUSO TERRA VEGETAL</v>
      </c>
      <c r="C87" s="1092"/>
      <c r="D87" s="1092"/>
      <c r="E87" s="1092"/>
      <c r="F87" s="1092"/>
      <c r="G87" s="1092"/>
      <c r="H87" s="1092"/>
      <c r="I87" s="1092"/>
      <c r="J87" s="1092"/>
      <c r="K87" s="1092"/>
    </row>
    <row r="88" spans="1:11" ht="15">
      <c r="A88" s="273"/>
      <c r="B88" s="595"/>
      <c r="C88" s="595"/>
      <c r="D88" s="595"/>
      <c r="E88" s="595"/>
      <c r="F88" s="595"/>
      <c r="G88" s="595"/>
      <c r="H88" s="595"/>
      <c r="I88" s="595"/>
      <c r="J88" s="595"/>
      <c r="K88" s="595"/>
    </row>
    <row r="89" spans="1:11" ht="15">
      <c r="A89" s="273"/>
      <c r="B89" s="406" t="s">
        <v>426</v>
      </c>
      <c r="C89" s="277"/>
      <c r="D89" s="277"/>
      <c r="E89" s="277"/>
      <c r="F89" s="157"/>
      <c r="G89" s="157"/>
      <c r="H89" s="157"/>
      <c r="I89" s="157"/>
      <c r="J89" s="157"/>
      <c r="K89" s="157"/>
    </row>
    <row r="90" spans="1:11" ht="15">
      <c r="A90" s="273"/>
      <c r="B90" s="406" t="s">
        <v>429</v>
      </c>
      <c r="C90" s="326"/>
      <c r="D90" s="326"/>
      <c r="E90" s="326"/>
      <c r="F90" s="266"/>
      <c r="G90" s="326"/>
      <c r="H90" s="326"/>
      <c r="I90" s="326"/>
      <c r="J90" s="266"/>
      <c r="K90" s="594"/>
    </row>
    <row r="91" spans="1:11" ht="15">
      <c r="A91" s="25"/>
      <c r="B91" s="24"/>
      <c r="C91" s="15" t="s">
        <v>92</v>
      </c>
      <c r="D91" s="22">
        <v>2</v>
      </c>
      <c r="E91" s="23" t="s">
        <v>437</v>
      </c>
      <c r="F91" s="24"/>
      <c r="G91" s="24"/>
      <c r="H91" s="24"/>
      <c r="I91" s="24"/>
      <c r="J91" s="24"/>
      <c r="K91" s="24"/>
    </row>
    <row r="92" spans="1:11" ht="15">
      <c r="A92" s="25"/>
      <c r="B92" s="89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61.5" customHeight="1">
      <c r="A93" s="25" t="str">
        <f>'ORÇAMENTO NÃO DESONERADO'!A38</f>
        <v>4.4.3</v>
      </c>
      <c r="B93" s="1092" t="str">
        <f>'ORÇAMENTO NÃO DESONERADO'!C38</f>
        <v>CANTEIRO ELEVADO PARA FLOREIRA - TIPO 3 - COM BALDRAMEEM CONCRETO CICLÓPICO IMPERMEABILIZADO, ALVENARIA EM TIJOLOS CERÂMICOS MACIÇOS DE ESPESSURA 10CM IMPERMEABILIZADOS PELO LADO INTERNO, CHAPISCO, EMBOÇO, SELADOR E PINTURA TEXTURIZADA ACRÍLICA - INCLUSO TERRA VEGETAL</v>
      </c>
      <c r="C93" s="1092"/>
      <c r="D93" s="1092"/>
      <c r="E93" s="1092"/>
      <c r="F93" s="1092"/>
      <c r="G93" s="1092"/>
      <c r="H93" s="1092"/>
      <c r="I93" s="1092"/>
      <c r="J93" s="1092"/>
      <c r="K93" s="1092"/>
    </row>
    <row r="94" spans="1:11" ht="15">
      <c r="A94" s="25"/>
      <c r="B94" s="89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5">
      <c r="A95" s="25"/>
      <c r="B95" s="406" t="s">
        <v>427</v>
      </c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5">
      <c r="A96" s="25"/>
      <c r="B96" s="406" t="s">
        <v>428</v>
      </c>
      <c r="C96" s="397"/>
      <c r="D96" s="397"/>
      <c r="E96" s="397"/>
      <c r="F96" s="397"/>
      <c r="G96" s="397"/>
      <c r="H96" s="184"/>
      <c r="I96" s="217"/>
      <c r="J96" s="14"/>
      <c r="K96" s="24"/>
    </row>
    <row r="97" spans="1:11" ht="15">
      <c r="A97" s="25"/>
      <c r="B97" s="24"/>
      <c r="C97" s="15" t="s">
        <v>92</v>
      </c>
      <c r="D97" s="22">
        <v>2</v>
      </c>
      <c r="E97" s="23" t="s">
        <v>437</v>
      </c>
      <c r="F97" s="24"/>
      <c r="G97" s="24"/>
      <c r="H97" s="24"/>
      <c r="I97" s="24"/>
      <c r="J97" s="24"/>
      <c r="K97" s="24"/>
    </row>
    <row r="98" spans="1:11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</sheetData>
  <mergeCells count="24">
    <mergeCell ref="B87:K87"/>
    <mergeCell ref="B54:C54"/>
    <mergeCell ref="B81:K81"/>
    <mergeCell ref="B93:K93"/>
    <mergeCell ref="B76:K76"/>
    <mergeCell ref="B70:K70"/>
    <mergeCell ref="C29:K29"/>
    <mergeCell ref="A6:B7"/>
    <mergeCell ref="C6:E7"/>
    <mergeCell ref="F6:G7"/>
    <mergeCell ref="H6:K7"/>
    <mergeCell ref="B12:K12"/>
    <mergeCell ref="F5:G5"/>
    <mergeCell ref="H5:K5"/>
    <mergeCell ref="A1:K1"/>
    <mergeCell ref="A2:B2"/>
    <mergeCell ref="C2:E2"/>
    <mergeCell ref="H2:K2"/>
    <mergeCell ref="A4:B4"/>
    <mergeCell ref="C4:K4"/>
    <mergeCell ref="A3:B3"/>
    <mergeCell ref="C3:K3"/>
    <mergeCell ref="A5:B5"/>
    <mergeCell ref="C5:E5"/>
  </mergeCells>
  <printOptions/>
  <pageMargins left="0.25" right="0.25" top="0.75" bottom="0.75" header="0.3" footer="0.3"/>
  <pageSetup fitToHeight="0" fitToWidth="1" horizontalDpi="360" verticalDpi="360" orientation="portrait" paperSize="9" scale="79" r:id="rId2"/>
  <rowBreaks count="1" manualBreakCount="1">
    <brk id="48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4"/>
  <sheetViews>
    <sheetView view="pageBreakPreview" zoomScaleSheetLayoutView="100" workbookViewId="0" topLeftCell="A1">
      <selection activeCell="S15" sqref="S15"/>
    </sheetView>
  </sheetViews>
  <sheetFormatPr defaultColWidth="9.140625" defaultRowHeight="12.75"/>
  <cols>
    <col min="1" max="1" width="14.421875" style="24" customWidth="1"/>
    <col min="2" max="2" width="13.28125" style="24" customWidth="1"/>
    <col min="3" max="3" width="13.00390625" style="24" customWidth="1"/>
    <col min="4" max="4" width="11.421875" style="24" customWidth="1"/>
    <col min="5" max="5" width="22.28125" style="24" customWidth="1"/>
    <col min="6" max="6" width="11.421875" style="24" customWidth="1"/>
    <col min="7" max="7" width="13.28125" style="24" customWidth="1"/>
    <col min="8" max="8" width="11.57421875" style="24" customWidth="1"/>
    <col min="9" max="14" width="9.140625" style="24" customWidth="1"/>
  </cols>
  <sheetData>
    <row r="1" spans="1:14" ht="105" customHeight="1" thickBot="1">
      <c r="A1" s="1108" t="s">
        <v>134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  <c r="N1" s="1110"/>
    </row>
    <row r="2" spans="1:14" ht="15">
      <c r="A2" s="1083" t="s">
        <v>57</v>
      </c>
      <c r="B2" s="1083"/>
      <c r="C2" s="1120" t="str">
        <f>'ORÇAMENTO NÃO DESONERADO'!B2</f>
        <v>PREFEITURA MUNICIPAL DE OURÉM</v>
      </c>
      <c r="D2" s="1120"/>
      <c r="E2" s="1120"/>
      <c r="F2" s="135" t="s">
        <v>95</v>
      </c>
      <c r="G2" s="135"/>
      <c r="H2" s="1111" t="s">
        <v>172</v>
      </c>
      <c r="I2" s="1112"/>
      <c r="J2" s="1112"/>
      <c r="K2" s="1112"/>
      <c r="L2" s="1112"/>
      <c r="M2" s="1112"/>
      <c r="N2" s="1113"/>
    </row>
    <row r="3" spans="1:14" ht="15">
      <c r="A3" s="1083" t="s">
        <v>58</v>
      </c>
      <c r="B3" s="1083"/>
      <c r="C3" s="1114" t="str">
        <f>'ORÇAMENTO NÃO DESONERADO'!B3</f>
        <v>CONSTRUÇÃO DE TERMINAL RODOVIÁRIO ETAPA-02</v>
      </c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6"/>
    </row>
    <row r="4" spans="1:14" ht="15">
      <c r="A4" s="1086" t="s">
        <v>59</v>
      </c>
      <c r="B4" s="1086"/>
      <c r="C4" s="1074" t="str">
        <f>'ORÇAMENTO NÃO DESONERADO'!B4</f>
        <v>RUA JOAQUIM DIONISIO COM RUA PERSEVERANDO S/N. PRAÇA DO TERMINAL OURÉM/PA</v>
      </c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8"/>
    </row>
    <row r="5" spans="1:14" ht="15">
      <c r="A5" s="1083" t="s">
        <v>60</v>
      </c>
      <c r="B5" s="1083"/>
      <c r="C5" s="1079">
        <f>'BDI NÃO DESONERADO'!I25</f>
        <v>0.25</v>
      </c>
      <c r="D5" s="1079"/>
      <c r="E5" s="1079"/>
      <c r="F5" s="1086" t="s">
        <v>36</v>
      </c>
      <c r="G5" s="1086"/>
      <c r="H5" s="1117" t="str">
        <f>'ORÇAMENTO NÃO DESONERADO'!F6</f>
        <v>SINAPI - JULHO DE 2020</v>
      </c>
      <c r="I5" s="1118"/>
      <c r="J5" s="1118"/>
      <c r="K5" s="1118"/>
      <c r="L5" s="1118"/>
      <c r="M5" s="1118"/>
      <c r="N5" s="1119"/>
    </row>
    <row r="6" spans="1:14" ht="15">
      <c r="A6" s="1086" t="s">
        <v>96</v>
      </c>
      <c r="B6" s="1086"/>
      <c r="C6" s="1089" t="str">
        <f>'ORÇAMENTO NÃO DESONERADO'!B6</f>
        <v xml:space="preserve"> MARUZA BAPTISTA </v>
      </c>
      <c r="D6" s="1089"/>
      <c r="E6" s="1089"/>
      <c r="F6" s="892" t="s">
        <v>98</v>
      </c>
      <c r="G6" s="892"/>
      <c r="H6" s="1095" t="s">
        <v>99</v>
      </c>
      <c r="I6" s="1096"/>
      <c r="J6" s="1096"/>
      <c r="K6" s="1096"/>
      <c r="L6" s="1096"/>
      <c r="M6" s="1096"/>
      <c r="N6" s="1097"/>
    </row>
    <row r="7" spans="1:14" s="270" customFormat="1" ht="15">
      <c r="A7" s="823"/>
      <c r="B7" s="468"/>
      <c r="C7" s="824"/>
      <c r="D7" s="824"/>
      <c r="E7" s="824"/>
      <c r="F7" s="39"/>
      <c r="G7" s="39"/>
      <c r="H7" s="38"/>
      <c r="I7" s="38"/>
      <c r="J7" s="38"/>
      <c r="K7" s="38"/>
      <c r="L7" s="38"/>
      <c r="M7" s="38"/>
      <c r="N7" s="38"/>
    </row>
    <row r="8" spans="1:14" ht="15" customHeight="1">
      <c r="A8" s="806" t="str">
        <f>'ORÇAMENTO NÃO DESONERADO'!A41</f>
        <v>5</v>
      </c>
      <c r="B8" s="805" t="str">
        <f>'ORÇAMENTO NÃO DESONERADO'!C41</f>
        <v>TERMINAL RODOVIARIO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532"/>
    </row>
    <row r="10" spans="1:2" ht="15">
      <c r="A10" s="89" t="str">
        <f>'ORÇAMENTO NÃO DESONERADO'!A42</f>
        <v>5.1</v>
      </c>
      <c r="B10" s="89" t="str">
        <f>'ORÇAMENTO NÃO DESONERADO'!C42</f>
        <v>MOVIMENTO DE TERRA</v>
      </c>
    </row>
    <row r="11" spans="1:2" ht="15">
      <c r="A11" s="89" t="str">
        <f>'ORÇAMENTO NÃO DESONERADO'!A43</f>
        <v>5.1.1</v>
      </c>
      <c r="B11" s="89" t="str">
        <f>'ORÇAMENTO NÃO DESONERADO'!C43</f>
        <v>ESCAVAÇÃO MANUAL PARA BLOCO DE COROAMENTO OU SAPATA, COM PREVISÃO DE FÔRMA. AF_06/2017</v>
      </c>
    </row>
    <row r="12" spans="1:14" s="270" customFormat="1" ht="15">
      <c r="A12" s="406"/>
      <c r="B12" s="40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s="270" customFormat="1" ht="12.75">
      <c r="A13" s="157"/>
      <c r="B13" s="616" t="s">
        <v>461</v>
      </c>
      <c r="C13" s="605"/>
      <c r="D13" s="605"/>
      <c r="E13" s="605"/>
      <c r="F13" s="605"/>
      <c r="G13" s="605"/>
      <c r="H13" s="603" t="s">
        <v>9</v>
      </c>
      <c r="I13" s="605"/>
      <c r="J13" s="605"/>
      <c r="K13" s="605"/>
      <c r="L13" s="605"/>
      <c r="M13" s="605"/>
      <c r="N13" s="157"/>
    </row>
    <row r="14" spans="2:14" s="270" customFormat="1" ht="12.75">
      <c r="B14" s="603" t="s">
        <v>143</v>
      </c>
      <c r="C14" s="603"/>
      <c r="D14" s="603" t="s">
        <v>190</v>
      </c>
      <c r="E14" s="603"/>
      <c r="F14" s="603" t="s">
        <v>466</v>
      </c>
      <c r="G14" s="603"/>
      <c r="H14" s="603" t="s">
        <v>467</v>
      </c>
      <c r="I14" s="605"/>
      <c r="J14" s="617" t="s">
        <v>194</v>
      </c>
      <c r="K14" s="605"/>
      <c r="L14" s="605"/>
      <c r="M14" s="605"/>
      <c r="N14" s="157"/>
    </row>
    <row r="15" spans="1:14" s="270" customFormat="1" ht="12.75">
      <c r="A15" s="157"/>
      <c r="B15" s="603">
        <v>0.9</v>
      </c>
      <c r="C15" s="603" t="s">
        <v>28</v>
      </c>
      <c r="D15" s="603">
        <v>0.7</v>
      </c>
      <c r="E15" s="603" t="s">
        <v>28</v>
      </c>
      <c r="F15" s="603">
        <f>0.3+0.73+0.05</f>
        <v>1.08</v>
      </c>
      <c r="G15" s="603" t="s">
        <v>28</v>
      </c>
      <c r="H15" s="604">
        <v>2</v>
      </c>
      <c r="I15" s="605" t="s">
        <v>29</v>
      </c>
      <c r="J15" s="618">
        <f aca="true" t="shared" si="0" ref="J15:J20">ROUND((B15*F15*D15*H15),2)</f>
        <v>1.36</v>
      </c>
      <c r="K15" s="603" t="s">
        <v>1</v>
      </c>
      <c r="L15" s="619" t="s">
        <v>444</v>
      </c>
      <c r="M15" s="605"/>
      <c r="N15" s="157"/>
    </row>
    <row r="16" spans="1:14" s="270" customFormat="1" ht="12.75">
      <c r="A16" s="157"/>
      <c r="B16" s="603">
        <v>0.9</v>
      </c>
      <c r="C16" s="603" t="s">
        <v>28</v>
      </c>
      <c r="D16" s="603">
        <v>0.7</v>
      </c>
      <c r="E16" s="603" t="s">
        <v>28</v>
      </c>
      <c r="F16" s="603">
        <f aca="true" t="shared" si="1" ref="F16:F20">0.3+0.73+0.05</f>
        <v>1.08</v>
      </c>
      <c r="G16" s="603" t="s">
        <v>28</v>
      </c>
      <c r="H16" s="604">
        <v>4</v>
      </c>
      <c r="I16" s="605" t="s">
        <v>29</v>
      </c>
      <c r="J16" s="618">
        <f t="shared" si="0"/>
        <v>2.72</v>
      </c>
      <c r="K16" s="603" t="s">
        <v>1</v>
      </c>
      <c r="L16" s="619" t="s">
        <v>445</v>
      </c>
      <c r="M16" s="605"/>
      <c r="N16" s="157"/>
    </row>
    <row r="17" spans="1:14" s="270" customFormat="1" ht="12.75">
      <c r="A17" s="157"/>
      <c r="B17" s="603">
        <v>0.9</v>
      </c>
      <c r="C17" s="603" t="s">
        <v>28</v>
      </c>
      <c r="D17" s="603">
        <v>0.7</v>
      </c>
      <c r="E17" s="603" t="s">
        <v>28</v>
      </c>
      <c r="F17" s="603">
        <f t="shared" si="1"/>
        <v>1.08</v>
      </c>
      <c r="G17" s="603" t="s">
        <v>28</v>
      </c>
      <c r="H17" s="604">
        <v>4</v>
      </c>
      <c r="I17" s="605" t="s">
        <v>29</v>
      </c>
      <c r="J17" s="618">
        <f t="shared" si="0"/>
        <v>2.72</v>
      </c>
      <c r="K17" s="603" t="s">
        <v>1</v>
      </c>
      <c r="L17" s="619" t="s">
        <v>446</v>
      </c>
      <c r="M17" s="605"/>
      <c r="N17" s="157"/>
    </row>
    <row r="18" spans="1:14" s="270" customFormat="1" ht="12.75">
      <c r="A18" s="157"/>
      <c r="B18" s="603">
        <v>0.9</v>
      </c>
      <c r="C18" s="603" t="s">
        <v>28</v>
      </c>
      <c r="D18" s="603">
        <v>0.7</v>
      </c>
      <c r="E18" s="603" t="s">
        <v>28</v>
      </c>
      <c r="F18" s="603">
        <f t="shared" si="1"/>
        <v>1.08</v>
      </c>
      <c r="G18" s="603" t="s">
        <v>28</v>
      </c>
      <c r="H18" s="604">
        <v>4</v>
      </c>
      <c r="I18" s="605" t="s">
        <v>29</v>
      </c>
      <c r="J18" s="618">
        <f t="shared" si="0"/>
        <v>2.72</v>
      </c>
      <c r="K18" s="603" t="s">
        <v>1</v>
      </c>
      <c r="L18" s="619" t="s">
        <v>447</v>
      </c>
      <c r="M18" s="605"/>
      <c r="N18" s="157"/>
    </row>
    <row r="19" spans="1:14" s="270" customFormat="1" ht="12.75">
      <c r="A19" s="157"/>
      <c r="B19" s="603">
        <v>0.9</v>
      </c>
      <c r="C19" s="603" t="s">
        <v>28</v>
      </c>
      <c r="D19" s="603">
        <v>0.7</v>
      </c>
      <c r="E19" s="603" t="s">
        <v>28</v>
      </c>
      <c r="F19" s="603">
        <f t="shared" si="1"/>
        <v>1.08</v>
      </c>
      <c r="G19" s="603" t="s">
        <v>28</v>
      </c>
      <c r="H19" s="604">
        <v>3</v>
      </c>
      <c r="I19" s="605" t="s">
        <v>29</v>
      </c>
      <c r="J19" s="618">
        <f t="shared" si="0"/>
        <v>2.04</v>
      </c>
      <c r="K19" s="603" t="s">
        <v>1</v>
      </c>
      <c r="L19" s="619" t="s">
        <v>478</v>
      </c>
      <c r="M19" s="605"/>
      <c r="N19" s="157"/>
    </row>
    <row r="20" spans="1:14" s="270" customFormat="1" ht="12.75">
      <c r="A20" s="157"/>
      <c r="B20" s="603">
        <v>0.9</v>
      </c>
      <c r="C20" s="603" t="s">
        <v>28</v>
      </c>
      <c r="D20" s="603">
        <v>0.7</v>
      </c>
      <c r="E20" s="603" t="s">
        <v>28</v>
      </c>
      <c r="F20" s="603">
        <f t="shared" si="1"/>
        <v>1.08</v>
      </c>
      <c r="G20" s="603" t="s">
        <v>28</v>
      </c>
      <c r="H20" s="604">
        <v>2</v>
      </c>
      <c r="I20" s="605" t="s">
        <v>29</v>
      </c>
      <c r="J20" s="618">
        <f t="shared" si="0"/>
        <v>1.36</v>
      </c>
      <c r="K20" s="603" t="s">
        <v>1</v>
      </c>
      <c r="L20" s="619" t="s">
        <v>449</v>
      </c>
      <c r="M20" s="605"/>
      <c r="N20" s="157"/>
    </row>
    <row r="21" spans="1:14" s="270" customFormat="1" ht="12.75">
      <c r="A21" s="603"/>
      <c r="B21" s="603"/>
      <c r="C21" s="603"/>
      <c r="D21" s="603"/>
      <c r="E21" s="603"/>
      <c r="F21" s="603"/>
      <c r="G21" s="603"/>
      <c r="H21" s="604"/>
      <c r="I21" s="605"/>
      <c r="J21" s="605"/>
      <c r="K21" s="603"/>
      <c r="L21" s="605"/>
      <c r="M21" s="605"/>
      <c r="N21" s="157"/>
    </row>
    <row r="22" spans="1:14" s="270" customFormat="1" ht="12.75">
      <c r="A22" s="157"/>
      <c r="B22" s="620" t="s">
        <v>32</v>
      </c>
      <c r="C22" s="621">
        <f>SUM(J15:J20)</f>
        <v>12.920000000000002</v>
      </c>
      <c r="D22" s="622" t="s">
        <v>1</v>
      </c>
      <c r="E22" s="605"/>
      <c r="F22" s="605"/>
      <c r="G22" s="605"/>
      <c r="H22" s="605"/>
      <c r="I22" s="605"/>
      <c r="J22" s="605"/>
      <c r="K22" s="605"/>
      <c r="L22" s="605"/>
      <c r="M22" s="605"/>
      <c r="N22" s="157"/>
    </row>
    <row r="23" spans="1:14" s="270" customFormat="1" ht="12.75">
      <c r="A23" s="605"/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157"/>
    </row>
    <row r="24" spans="1:14" s="270" customFormat="1" ht="12.75">
      <c r="A24" s="157"/>
      <c r="B24" s="623" t="s">
        <v>145</v>
      </c>
      <c r="C24" s="623"/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157"/>
    </row>
    <row r="25" spans="1:14" s="270" customFormat="1" ht="12.75">
      <c r="A25" s="605"/>
      <c r="B25" s="603" t="s">
        <v>143</v>
      </c>
      <c r="C25" s="603"/>
      <c r="D25" s="603" t="s">
        <v>192</v>
      </c>
      <c r="E25" s="603"/>
      <c r="F25" s="603" t="s">
        <v>450</v>
      </c>
      <c r="G25" s="605"/>
      <c r="H25" s="603" t="s">
        <v>193</v>
      </c>
      <c r="I25" s="605"/>
      <c r="J25" s="605"/>
      <c r="K25" s="605"/>
      <c r="L25" s="605"/>
      <c r="M25" s="605"/>
      <c r="N25" s="157"/>
    </row>
    <row r="26" spans="1:14" s="270" customFormat="1" ht="12.75">
      <c r="A26" s="603"/>
      <c r="B26" s="603">
        <f>14.02</f>
        <v>14.02</v>
      </c>
      <c r="C26" s="603" t="s">
        <v>28</v>
      </c>
      <c r="D26" s="603">
        <v>0.2</v>
      </c>
      <c r="E26" s="603" t="s">
        <v>28</v>
      </c>
      <c r="F26" s="603">
        <f>0.4+0.05</f>
        <v>0.45</v>
      </c>
      <c r="G26" s="603" t="s">
        <v>28</v>
      </c>
      <c r="H26" s="604">
        <v>2</v>
      </c>
      <c r="I26" s="596" t="s">
        <v>29</v>
      </c>
      <c r="J26" s="603">
        <f aca="true" t="shared" si="2" ref="J26:J30">ROUND((B26*D26*F26*H26),2)</f>
        <v>2.52</v>
      </c>
      <c r="K26" s="619" t="s">
        <v>451</v>
      </c>
      <c r="L26" s="605"/>
      <c r="M26" s="605"/>
      <c r="N26" s="157"/>
    </row>
    <row r="27" spans="1:14" s="270" customFormat="1" ht="12.75">
      <c r="A27" s="603"/>
      <c r="B27" s="603">
        <v>9.67</v>
      </c>
      <c r="C27" s="603" t="s">
        <v>28</v>
      </c>
      <c r="D27" s="603">
        <v>0.2</v>
      </c>
      <c r="E27" s="603" t="s">
        <v>28</v>
      </c>
      <c r="F27" s="603">
        <f>0.4+0.05</f>
        <v>0.45</v>
      </c>
      <c r="G27" s="603" t="s">
        <v>28</v>
      </c>
      <c r="H27" s="604">
        <v>2</v>
      </c>
      <c r="I27" s="605" t="s">
        <v>29</v>
      </c>
      <c r="J27" s="603">
        <f t="shared" si="2"/>
        <v>1.74</v>
      </c>
      <c r="K27" s="619" t="s">
        <v>452</v>
      </c>
      <c r="L27" s="605"/>
      <c r="M27" s="605"/>
      <c r="N27" s="157"/>
    </row>
    <row r="28" spans="1:14" s="270" customFormat="1" ht="12.75">
      <c r="A28" s="603"/>
      <c r="B28" s="603">
        <v>2.65</v>
      </c>
      <c r="C28" s="603" t="s">
        <v>28</v>
      </c>
      <c r="D28" s="603">
        <v>0.15</v>
      </c>
      <c r="E28" s="603" t="s">
        <v>28</v>
      </c>
      <c r="F28" s="603">
        <f>0.3+0.05</f>
        <v>0.35</v>
      </c>
      <c r="G28" s="603" t="s">
        <v>28</v>
      </c>
      <c r="H28" s="604">
        <v>2</v>
      </c>
      <c r="I28" s="605" t="s">
        <v>29</v>
      </c>
      <c r="J28" s="603">
        <f t="shared" si="2"/>
        <v>0.28</v>
      </c>
      <c r="K28" s="619" t="s">
        <v>453</v>
      </c>
      <c r="L28" s="605"/>
      <c r="M28" s="605"/>
      <c r="N28" s="157"/>
    </row>
    <row r="29" spans="1:14" s="270" customFormat="1" ht="12.75">
      <c r="A29" s="603"/>
      <c r="B29" s="603">
        <f>1.63+3.28</f>
        <v>4.91</v>
      </c>
      <c r="C29" s="603" t="s">
        <v>28</v>
      </c>
      <c r="D29" s="603">
        <v>0.15</v>
      </c>
      <c r="E29" s="603" t="s">
        <v>28</v>
      </c>
      <c r="F29" s="603">
        <f>0.3+0.05</f>
        <v>0.35</v>
      </c>
      <c r="G29" s="603" t="s">
        <v>28</v>
      </c>
      <c r="H29" s="604">
        <v>1</v>
      </c>
      <c r="I29" s="605" t="s">
        <v>29</v>
      </c>
      <c r="J29" s="603">
        <f t="shared" si="2"/>
        <v>0.26</v>
      </c>
      <c r="K29" s="619" t="s">
        <v>454</v>
      </c>
      <c r="L29" s="605"/>
      <c r="M29" s="605"/>
      <c r="N29" s="157"/>
    </row>
    <row r="30" spans="1:14" s="270" customFormat="1" ht="12.75">
      <c r="A30" s="603"/>
      <c r="B30" s="603">
        <v>2.22</v>
      </c>
      <c r="C30" s="603" t="s">
        <v>28</v>
      </c>
      <c r="D30" s="603">
        <v>0.2</v>
      </c>
      <c r="E30" s="603" t="s">
        <v>28</v>
      </c>
      <c r="F30" s="603">
        <f>0.4+0.05</f>
        <v>0.45</v>
      </c>
      <c r="G30" s="603" t="s">
        <v>28</v>
      </c>
      <c r="H30" s="604">
        <v>1</v>
      </c>
      <c r="I30" s="605" t="s">
        <v>29</v>
      </c>
      <c r="J30" s="603">
        <f t="shared" si="2"/>
        <v>0.2</v>
      </c>
      <c r="K30" s="619" t="s">
        <v>455</v>
      </c>
      <c r="L30" s="605"/>
      <c r="M30" s="605"/>
      <c r="N30" s="157"/>
    </row>
    <row r="31" spans="1:14" s="270" customFormat="1" ht="12.75">
      <c r="A31" s="603"/>
      <c r="B31" s="603"/>
      <c r="C31" s="603"/>
      <c r="D31" s="603"/>
      <c r="E31" s="603"/>
      <c r="F31" s="603"/>
      <c r="G31" s="603"/>
      <c r="H31" s="604"/>
      <c r="I31" s="605"/>
      <c r="J31" s="603"/>
      <c r="K31" s="619"/>
      <c r="L31" s="605"/>
      <c r="M31" s="605"/>
      <c r="N31" s="157"/>
    </row>
    <row r="32" spans="1:15" s="270" customFormat="1" ht="14.25" customHeight="1">
      <c r="A32" s="157"/>
      <c r="B32" s="620" t="s">
        <v>32</v>
      </c>
      <c r="C32" s="621">
        <f>SUM(J26:J31)</f>
        <v>5</v>
      </c>
      <c r="D32" s="622" t="s">
        <v>1</v>
      </c>
      <c r="E32" s="603"/>
      <c r="F32" s="603"/>
      <c r="G32" s="603"/>
      <c r="H32" s="604"/>
      <c r="I32" s="605"/>
      <c r="J32" s="603"/>
      <c r="K32" s="619"/>
      <c r="L32" s="605"/>
      <c r="M32" s="605"/>
      <c r="N32" s="637"/>
      <c r="O32" s="649"/>
    </row>
    <row r="33" spans="1:15" s="270" customFormat="1" ht="12.75">
      <c r="A33" s="603"/>
      <c r="B33" s="603"/>
      <c r="C33" s="603"/>
      <c r="D33" s="603"/>
      <c r="E33" s="603"/>
      <c r="F33" s="603"/>
      <c r="G33" s="603"/>
      <c r="H33" s="604"/>
      <c r="I33" s="605"/>
      <c r="J33" s="603"/>
      <c r="K33" s="619"/>
      <c r="L33" s="605"/>
      <c r="M33" s="605"/>
      <c r="N33" s="637"/>
      <c r="O33" s="649"/>
    </row>
    <row r="34" spans="1:16" ht="12.75">
      <c r="A34" s="157"/>
      <c r="B34" s="643" t="s">
        <v>27</v>
      </c>
      <c r="C34" s="644">
        <f>C32+C22</f>
        <v>17.92</v>
      </c>
      <c r="D34" s="624" t="s">
        <v>1</v>
      </c>
      <c r="E34" s="605"/>
      <c r="F34" s="605"/>
      <c r="G34" s="605"/>
      <c r="H34" s="605"/>
      <c r="I34" s="605"/>
      <c r="J34" s="605"/>
      <c r="K34" s="605"/>
      <c r="L34" s="605"/>
      <c r="M34" s="605"/>
      <c r="N34" s="392"/>
      <c r="O34" s="270"/>
      <c r="P34" s="270"/>
    </row>
    <row r="35" spans="1:15" s="270" customFormat="1" ht="12.75">
      <c r="A35" s="646"/>
      <c r="B35" s="646"/>
      <c r="C35" s="618"/>
      <c r="D35" s="605"/>
      <c r="E35" s="605"/>
      <c r="F35" s="605"/>
      <c r="G35" s="605"/>
      <c r="H35" s="605"/>
      <c r="I35" s="605"/>
      <c r="J35" s="605"/>
      <c r="K35" s="605"/>
      <c r="L35" s="605"/>
      <c r="M35" s="605"/>
      <c r="N35" s="392"/>
      <c r="O35" s="270">
        <v>36.9</v>
      </c>
    </row>
    <row r="36" spans="1:14" s="270" customFormat="1" ht="12.75">
      <c r="A36" s="650" t="str">
        <f>'ORÇAMENTO NÃO DESONERADO'!A44</f>
        <v>5.1.2</v>
      </c>
      <c r="B36" s="651" t="str">
        <f>'ORÇAMENTO NÃO DESONERADO'!C44</f>
        <v>REATERRO MANUAL DE VALAS COM COMPACTAÇÃO MECANIZADA. AF_04/2016</v>
      </c>
      <c r="C36" s="618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392"/>
    </row>
    <row r="37" spans="1:14" s="270" customFormat="1" ht="12.75">
      <c r="A37" s="646"/>
      <c r="B37" s="646"/>
      <c r="C37" s="618"/>
      <c r="D37" s="605"/>
      <c r="E37" s="605"/>
      <c r="F37" s="605"/>
      <c r="G37" s="605"/>
      <c r="H37" s="605"/>
      <c r="I37" s="605"/>
      <c r="J37" s="605"/>
      <c r="K37" s="605"/>
      <c r="L37" s="605"/>
      <c r="M37" s="605"/>
      <c r="N37" s="392"/>
    </row>
    <row r="38" spans="1:14" s="270" customFormat="1" ht="12.75">
      <c r="A38" s="646"/>
      <c r="B38" s="646"/>
      <c r="C38" s="618" t="s">
        <v>197</v>
      </c>
      <c r="D38" s="605"/>
      <c r="E38" s="618" t="s">
        <v>198</v>
      </c>
      <c r="F38" s="605"/>
      <c r="G38" s="603" t="s">
        <v>199</v>
      </c>
      <c r="H38" s="605"/>
      <c r="I38" s="605"/>
      <c r="J38" s="605"/>
      <c r="K38" s="605"/>
      <c r="L38" s="605"/>
      <c r="M38" s="605"/>
      <c r="N38" s="392"/>
    </row>
    <row r="39" spans="1:14" s="270" customFormat="1" ht="12.75">
      <c r="A39" s="646"/>
      <c r="B39" s="646"/>
      <c r="C39" s="618">
        <f>C34</f>
        <v>17.92</v>
      </c>
      <c r="D39" s="605" t="s">
        <v>33</v>
      </c>
      <c r="E39" s="603">
        <f>C138</f>
        <v>11.04</v>
      </c>
      <c r="F39" s="605" t="s">
        <v>29</v>
      </c>
      <c r="G39" s="603">
        <f>C39-E39</f>
        <v>6.880000000000003</v>
      </c>
      <c r="H39" s="605"/>
      <c r="I39" s="605"/>
      <c r="J39" s="605"/>
      <c r="K39" s="605"/>
      <c r="L39" s="605"/>
      <c r="M39" s="605"/>
      <c r="N39" s="392"/>
    </row>
    <row r="40" spans="1:14" s="270" customFormat="1" ht="12.75">
      <c r="A40" s="646"/>
      <c r="B40" s="646"/>
      <c r="C40" s="618"/>
      <c r="D40" s="605"/>
      <c r="E40" s="603"/>
      <c r="F40" s="605"/>
      <c r="G40" s="603"/>
      <c r="H40" s="605"/>
      <c r="I40" s="605"/>
      <c r="J40" s="605"/>
      <c r="K40" s="605"/>
      <c r="L40" s="605"/>
      <c r="M40" s="605"/>
      <c r="N40" s="392"/>
    </row>
    <row r="41" spans="1:14" s="165" customFormat="1" ht="12.75">
      <c r="A41" s="646"/>
      <c r="B41" s="643" t="s">
        <v>27</v>
      </c>
      <c r="C41" s="644">
        <f>G39</f>
        <v>6.880000000000003</v>
      </c>
      <c r="D41" s="624" t="s">
        <v>1</v>
      </c>
      <c r="E41" s="603"/>
      <c r="F41" s="605"/>
      <c r="G41" s="603"/>
      <c r="H41" s="605"/>
      <c r="I41" s="605"/>
      <c r="J41" s="605"/>
      <c r="K41" s="605"/>
      <c r="L41" s="605"/>
      <c r="M41" s="605"/>
      <c r="N41" s="392"/>
    </row>
    <row r="42" spans="1:14" s="270" customFormat="1" ht="12.75">
      <c r="A42" s="646"/>
      <c r="B42" s="646"/>
      <c r="C42" s="618"/>
      <c r="D42" s="605"/>
      <c r="E42" s="603"/>
      <c r="F42" s="605"/>
      <c r="G42" s="603"/>
      <c r="H42" s="605"/>
      <c r="I42" s="605"/>
      <c r="J42" s="605"/>
      <c r="K42" s="605"/>
      <c r="L42" s="605"/>
      <c r="M42" s="605"/>
      <c r="N42" s="392"/>
    </row>
    <row r="43" spans="1:14" s="270" customFormat="1" ht="15">
      <c r="A43" s="406" t="str">
        <f>'ORÇAMENTO NÃO DESONERADO'!A46</f>
        <v>5.2</v>
      </c>
      <c r="B43" s="406" t="str">
        <f>'ORÇAMENTO NÃO DESONERADO'!C46</f>
        <v>INFRAESTRUTURA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</row>
    <row r="44" spans="1:14" s="270" customFormat="1" ht="15">
      <c r="A44" s="406" t="str">
        <f>'ORÇAMENTO NÃO DESONERADO'!A47</f>
        <v>5.2.1</v>
      </c>
      <c r="B44" s="406" t="str">
        <f>'ORÇAMENTO NÃO DESONERADO'!C47</f>
        <v>LASTRO DE CONCRETO MAGRO, APLICADO EM BLOCOS DE COROAMENTO OU SAPATAS. AF_08/2017</v>
      </c>
      <c r="C44" s="655"/>
      <c r="D44" s="655"/>
      <c r="E44" s="656"/>
      <c r="F44" s="655"/>
      <c r="G44" s="656"/>
      <c r="H44" s="657"/>
      <c r="I44" s="657"/>
      <c r="J44" s="657"/>
      <c r="K44" s="657"/>
      <c r="L44" s="657"/>
      <c r="M44" s="657"/>
      <c r="N44" s="658"/>
    </row>
    <row r="45" spans="1:14" s="270" customFormat="1" ht="12.7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653"/>
    </row>
    <row r="46" spans="1:14" s="270" customFormat="1" ht="12.75">
      <c r="A46" s="157"/>
      <c r="B46" s="605" t="s">
        <v>189</v>
      </c>
      <c r="C46" s="605"/>
      <c r="D46" s="605"/>
      <c r="E46" s="605"/>
      <c r="F46" s="605"/>
      <c r="G46" s="605"/>
      <c r="H46" s="605"/>
      <c r="I46" s="605"/>
      <c r="J46" s="605"/>
      <c r="K46" s="605"/>
      <c r="L46" s="605"/>
      <c r="M46" s="605"/>
      <c r="N46" s="653"/>
    </row>
    <row r="47" spans="2:14" s="270" customFormat="1" ht="12.75">
      <c r="B47" s="603" t="s">
        <v>143</v>
      </c>
      <c r="C47" s="603"/>
      <c r="D47" s="603" t="s">
        <v>190</v>
      </c>
      <c r="E47" s="603"/>
      <c r="F47" s="603" t="s">
        <v>191</v>
      </c>
      <c r="G47" s="603"/>
      <c r="H47" s="603" t="s">
        <v>456</v>
      </c>
      <c r="I47" s="605"/>
      <c r="J47" s="617" t="s">
        <v>194</v>
      </c>
      <c r="K47" s="605"/>
      <c r="L47" s="605"/>
      <c r="M47" s="605"/>
      <c r="N47" s="653"/>
    </row>
    <row r="48" spans="1:14" s="270" customFormat="1" ht="12.75">
      <c r="A48" s="603"/>
      <c r="B48" s="603">
        <v>0.9</v>
      </c>
      <c r="C48" s="603" t="s">
        <v>28</v>
      </c>
      <c r="D48" s="603">
        <v>0.7</v>
      </c>
      <c r="E48" s="603" t="s">
        <v>28</v>
      </c>
      <c r="F48" s="604">
        <v>2</v>
      </c>
      <c r="G48" s="603" t="s">
        <v>28</v>
      </c>
      <c r="H48" s="603">
        <v>0.05</v>
      </c>
      <c r="I48" s="605" t="s">
        <v>29</v>
      </c>
      <c r="J48" s="618">
        <f aca="true" t="shared" si="3" ref="J48:J53">ROUND((B48*F48*D48*H48),2)</f>
        <v>0.06</v>
      </c>
      <c r="K48" s="619" t="s">
        <v>444</v>
      </c>
      <c r="L48" s="157"/>
      <c r="M48" s="605"/>
      <c r="N48" s="653"/>
    </row>
    <row r="49" spans="2:14" s="270" customFormat="1" ht="12.75">
      <c r="B49" s="603">
        <v>0.9</v>
      </c>
      <c r="C49" s="603" t="s">
        <v>28</v>
      </c>
      <c r="D49" s="603">
        <v>0.7</v>
      </c>
      <c r="E49" s="603" t="s">
        <v>28</v>
      </c>
      <c r="F49" s="604">
        <v>4</v>
      </c>
      <c r="G49" s="603" t="s">
        <v>28</v>
      </c>
      <c r="H49" s="603">
        <v>0.05</v>
      </c>
      <c r="I49" s="605" t="s">
        <v>29</v>
      </c>
      <c r="J49" s="618">
        <f t="shared" si="3"/>
        <v>0.13</v>
      </c>
      <c r="K49" s="619" t="s">
        <v>445</v>
      </c>
      <c r="L49" s="157"/>
      <c r="M49" s="605"/>
      <c r="N49" s="653"/>
    </row>
    <row r="50" spans="1:14" s="270" customFormat="1" ht="12.75">
      <c r="A50" s="603"/>
      <c r="B50" s="603">
        <v>0.9</v>
      </c>
      <c r="C50" s="603" t="s">
        <v>28</v>
      </c>
      <c r="D50" s="603">
        <v>0.7</v>
      </c>
      <c r="E50" s="603" t="s">
        <v>28</v>
      </c>
      <c r="F50" s="604">
        <v>4</v>
      </c>
      <c r="G50" s="603" t="s">
        <v>28</v>
      </c>
      <c r="H50" s="603">
        <v>0.05</v>
      </c>
      <c r="I50" s="605" t="s">
        <v>29</v>
      </c>
      <c r="J50" s="618">
        <f t="shared" si="3"/>
        <v>0.13</v>
      </c>
      <c r="K50" s="619" t="s">
        <v>446</v>
      </c>
      <c r="L50" s="157"/>
      <c r="M50" s="605"/>
      <c r="N50" s="653"/>
    </row>
    <row r="51" spans="2:14" s="270" customFormat="1" ht="12.75">
      <c r="B51" s="603">
        <v>0.9</v>
      </c>
      <c r="C51" s="603" t="s">
        <v>28</v>
      </c>
      <c r="D51" s="603">
        <v>0.7</v>
      </c>
      <c r="E51" s="603" t="s">
        <v>28</v>
      </c>
      <c r="F51" s="604">
        <v>4</v>
      </c>
      <c r="G51" s="603" t="s">
        <v>28</v>
      </c>
      <c r="H51" s="603">
        <v>0.05</v>
      </c>
      <c r="I51" s="605" t="s">
        <v>29</v>
      </c>
      <c r="J51" s="618">
        <f t="shared" si="3"/>
        <v>0.13</v>
      </c>
      <c r="K51" s="619" t="s">
        <v>447</v>
      </c>
      <c r="L51" s="157"/>
      <c r="M51" s="605"/>
      <c r="N51" s="653"/>
    </row>
    <row r="52" spans="1:14" s="270" customFormat="1" ht="12.75">
      <c r="A52" s="603"/>
      <c r="B52" s="603">
        <v>0.9</v>
      </c>
      <c r="C52" s="603" t="s">
        <v>28</v>
      </c>
      <c r="D52" s="603">
        <v>0.7</v>
      </c>
      <c r="E52" s="603" t="s">
        <v>28</v>
      </c>
      <c r="F52" s="604">
        <v>3</v>
      </c>
      <c r="G52" s="603" t="s">
        <v>28</v>
      </c>
      <c r="H52" s="603">
        <v>0.05</v>
      </c>
      <c r="I52" s="605" t="s">
        <v>29</v>
      </c>
      <c r="J52" s="618">
        <f t="shared" si="3"/>
        <v>0.09</v>
      </c>
      <c r="K52" s="619" t="s">
        <v>478</v>
      </c>
      <c r="L52" s="157"/>
      <c r="M52" s="605"/>
      <c r="N52" s="653"/>
    </row>
    <row r="53" spans="1:14" s="270" customFormat="1" ht="12.75">
      <c r="A53" s="603"/>
      <c r="B53" s="603">
        <v>0.9</v>
      </c>
      <c r="C53" s="603" t="s">
        <v>28</v>
      </c>
      <c r="D53" s="603">
        <v>0.7</v>
      </c>
      <c r="E53" s="603" t="s">
        <v>28</v>
      </c>
      <c r="F53" s="604">
        <v>2</v>
      </c>
      <c r="G53" s="603" t="s">
        <v>28</v>
      </c>
      <c r="H53" s="603">
        <v>0.05</v>
      </c>
      <c r="I53" s="605" t="s">
        <v>29</v>
      </c>
      <c r="J53" s="618">
        <f t="shared" si="3"/>
        <v>0.06</v>
      </c>
      <c r="K53" s="619" t="s">
        <v>449</v>
      </c>
      <c r="L53" s="157"/>
      <c r="M53" s="605"/>
      <c r="N53" s="653"/>
    </row>
    <row r="54" spans="1:14" s="270" customFormat="1" ht="12.75">
      <c r="A54" s="157"/>
      <c r="B54" s="603"/>
      <c r="C54" s="603"/>
      <c r="D54" s="603"/>
      <c r="E54" s="603"/>
      <c r="F54" s="603"/>
      <c r="G54" s="603"/>
      <c r="H54" s="604"/>
      <c r="I54" s="605"/>
      <c r="J54" s="605"/>
      <c r="K54" s="603"/>
      <c r="L54" s="605"/>
      <c r="M54" s="605"/>
      <c r="N54" s="653"/>
    </row>
    <row r="55" spans="1:14" s="270" customFormat="1" ht="12.75">
      <c r="A55" s="605"/>
      <c r="B55" s="620" t="s">
        <v>32</v>
      </c>
      <c r="C55" s="621">
        <f>SUM(J48:J53)</f>
        <v>0.6000000000000001</v>
      </c>
      <c r="D55" s="622" t="s">
        <v>1</v>
      </c>
      <c r="E55" s="605"/>
      <c r="F55" s="605"/>
      <c r="G55" s="605"/>
      <c r="H55" s="605"/>
      <c r="I55" s="605"/>
      <c r="J55" s="605"/>
      <c r="K55" s="605"/>
      <c r="L55" s="605"/>
      <c r="M55" s="605"/>
      <c r="N55" s="653"/>
    </row>
    <row r="56" spans="1:14" s="270" customFormat="1" ht="12.75">
      <c r="A56" s="157"/>
      <c r="B56" s="605"/>
      <c r="C56" s="605"/>
      <c r="D56" s="605"/>
      <c r="E56" s="605"/>
      <c r="F56" s="605"/>
      <c r="G56" s="605"/>
      <c r="H56" s="605"/>
      <c r="I56" s="605"/>
      <c r="J56" s="605"/>
      <c r="K56" s="605"/>
      <c r="L56" s="605"/>
      <c r="M56" s="605"/>
      <c r="N56" s="653"/>
    </row>
    <row r="57" spans="1:14" s="270" customFormat="1" ht="12.75">
      <c r="A57" s="605"/>
      <c r="B57" s="623" t="s">
        <v>145</v>
      </c>
      <c r="C57" s="623"/>
      <c r="D57" s="605"/>
      <c r="E57" s="605"/>
      <c r="F57" s="605"/>
      <c r="G57" s="605"/>
      <c r="H57" s="605"/>
      <c r="I57" s="605"/>
      <c r="J57" s="605"/>
      <c r="K57" s="605"/>
      <c r="L57" s="605"/>
      <c r="M57" s="605"/>
      <c r="N57" s="653"/>
    </row>
    <row r="58" spans="1:14" s="270" customFormat="1" ht="12.75">
      <c r="A58" s="603"/>
      <c r="B58" s="603" t="s">
        <v>143</v>
      </c>
      <c r="C58" s="603"/>
      <c r="D58" s="603" t="s">
        <v>200</v>
      </c>
      <c r="E58" s="603"/>
      <c r="F58" s="603" t="s">
        <v>193</v>
      </c>
      <c r="G58" s="605"/>
      <c r="H58" s="603" t="s">
        <v>193</v>
      </c>
      <c r="I58" s="605"/>
      <c r="J58" s="605"/>
      <c r="K58" s="605"/>
      <c r="L58" s="605"/>
      <c r="M58" s="605"/>
      <c r="N58" s="653"/>
    </row>
    <row r="59" spans="1:14" s="270" customFormat="1" ht="12.75">
      <c r="A59" s="603"/>
      <c r="B59" s="603">
        <f>14.02</f>
        <v>14.02</v>
      </c>
      <c r="C59" s="603" t="s">
        <v>28</v>
      </c>
      <c r="D59" s="603">
        <v>0.2</v>
      </c>
      <c r="E59" s="603" t="s">
        <v>28</v>
      </c>
      <c r="F59" s="604">
        <v>2</v>
      </c>
      <c r="G59" s="603" t="s">
        <v>28</v>
      </c>
      <c r="H59" s="603">
        <v>0.05</v>
      </c>
      <c r="I59" s="596" t="s">
        <v>29</v>
      </c>
      <c r="J59" s="603">
        <f aca="true" t="shared" si="4" ref="J59:J63">ROUND((B59*D59*F59*H59),2)</f>
        <v>0.28</v>
      </c>
      <c r="K59" s="619" t="s">
        <v>451</v>
      </c>
      <c r="L59" s="605"/>
      <c r="M59" s="605"/>
      <c r="N59" s="653"/>
    </row>
    <row r="60" spans="1:14" s="270" customFormat="1" ht="12.75">
      <c r="A60" s="603"/>
      <c r="B60" s="603">
        <v>9.67</v>
      </c>
      <c r="C60" s="603" t="s">
        <v>28</v>
      </c>
      <c r="D60" s="603">
        <v>0.2</v>
      </c>
      <c r="E60" s="603" t="s">
        <v>28</v>
      </c>
      <c r="F60" s="604">
        <v>2</v>
      </c>
      <c r="G60" s="603" t="s">
        <v>28</v>
      </c>
      <c r="H60" s="603">
        <v>0.05</v>
      </c>
      <c r="I60" s="605" t="s">
        <v>29</v>
      </c>
      <c r="J60" s="603">
        <f t="shared" si="4"/>
        <v>0.19</v>
      </c>
      <c r="K60" s="619" t="s">
        <v>452</v>
      </c>
      <c r="L60" s="605"/>
      <c r="M60" s="605"/>
      <c r="N60" s="653"/>
    </row>
    <row r="61" spans="1:14" s="270" customFormat="1" ht="12.75">
      <c r="A61" s="603"/>
      <c r="B61" s="603">
        <v>2.65</v>
      </c>
      <c r="C61" s="603" t="s">
        <v>28</v>
      </c>
      <c r="D61" s="603">
        <v>0.15</v>
      </c>
      <c r="E61" s="603" t="s">
        <v>28</v>
      </c>
      <c r="F61" s="604">
        <v>2</v>
      </c>
      <c r="G61" s="603" t="s">
        <v>28</v>
      </c>
      <c r="H61" s="603">
        <v>0.05</v>
      </c>
      <c r="I61" s="605" t="s">
        <v>29</v>
      </c>
      <c r="J61" s="603">
        <f t="shared" si="4"/>
        <v>0.04</v>
      </c>
      <c r="K61" s="619" t="s">
        <v>453</v>
      </c>
      <c r="L61" s="605"/>
      <c r="M61" s="605"/>
      <c r="N61" s="653"/>
    </row>
    <row r="62" spans="1:14" s="270" customFormat="1" ht="12.75">
      <c r="A62" s="603"/>
      <c r="B62" s="603">
        <f>1.63+3.28</f>
        <v>4.91</v>
      </c>
      <c r="C62" s="603" t="s">
        <v>28</v>
      </c>
      <c r="D62" s="603">
        <v>0.15</v>
      </c>
      <c r="E62" s="603" t="s">
        <v>28</v>
      </c>
      <c r="F62" s="604">
        <v>1</v>
      </c>
      <c r="G62" s="603" t="s">
        <v>28</v>
      </c>
      <c r="H62" s="603">
        <v>0.05</v>
      </c>
      <c r="I62" s="605" t="s">
        <v>29</v>
      </c>
      <c r="J62" s="603">
        <f t="shared" si="4"/>
        <v>0.04</v>
      </c>
      <c r="K62" s="619" t="s">
        <v>454</v>
      </c>
      <c r="L62" s="605"/>
      <c r="M62" s="605"/>
      <c r="N62" s="653"/>
    </row>
    <row r="63" spans="1:14" s="270" customFormat="1" ht="12.75">
      <c r="A63" s="603"/>
      <c r="B63" s="603">
        <v>2.22</v>
      </c>
      <c r="C63" s="603" t="s">
        <v>28</v>
      </c>
      <c r="D63" s="603">
        <v>0.2</v>
      </c>
      <c r="E63" s="603" t="s">
        <v>28</v>
      </c>
      <c r="F63" s="604">
        <v>1</v>
      </c>
      <c r="G63" s="603" t="s">
        <v>28</v>
      </c>
      <c r="H63" s="603">
        <v>0.05</v>
      </c>
      <c r="I63" s="605" t="s">
        <v>29</v>
      </c>
      <c r="J63" s="603">
        <f t="shared" si="4"/>
        <v>0.02</v>
      </c>
      <c r="K63" s="619" t="s">
        <v>455</v>
      </c>
      <c r="L63" s="605"/>
      <c r="M63" s="605"/>
      <c r="N63" s="653"/>
    </row>
    <row r="64" spans="1:14" s="270" customFormat="1" ht="12.75">
      <c r="A64" s="603"/>
      <c r="B64" s="603"/>
      <c r="C64" s="603"/>
      <c r="D64" s="603"/>
      <c r="E64" s="603"/>
      <c r="F64" s="603"/>
      <c r="G64" s="603"/>
      <c r="H64" s="604"/>
      <c r="I64" s="605"/>
      <c r="J64" s="603"/>
      <c r="K64" s="619"/>
      <c r="L64" s="605"/>
      <c r="M64" s="605"/>
      <c r="N64" s="653"/>
    </row>
    <row r="65" spans="1:14" s="270" customFormat="1" ht="12.75">
      <c r="A65" s="603"/>
      <c r="B65" s="620" t="s">
        <v>32</v>
      </c>
      <c r="C65" s="621">
        <f>SUM(J59:J64)</f>
        <v>0.5700000000000001</v>
      </c>
      <c r="D65" s="622" t="s">
        <v>1</v>
      </c>
      <c r="E65" s="603"/>
      <c r="F65" s="603"/>
      <c r="G65" s="603"/>
      <c r="H65" s="604"/>
      <c r="I65" s="605"/>
      <c r="J65" s="603"/>
      <c r="K65" s="619"/>
      <c r="L65" s="605"/>
      <c r="M65" s="605"/>
      <c r="N65" s="653"/>
    </row>
    <row r="66" spans="1:14" s="270" customFormat="1" ht="12.75">
      <c r="A66" s="157"/>
      <c r="B66" s="603"/>
      <c r="C66" s="603"/>
      <c r="D66" s="603"/>
      <c r="E66" s="603"/>
      <c r="F66" s="604"/>
      <c r="G66" s="605"/>
      <c r="H66" s="605"/>
      <c r="I66" s="605"/>
      <c r="J66" s="605"/>
      <c r="K66" s="605"/>
      <c r="L66" s="157"/>
      <c r="M66" s="157"/>
      <c r="N66" s="653"/>
    </row>
    <row r="67" spans="2:14" ht="12.75">
      <c r="B67" s="643" t="s">
        <v>27</v>
      </c>
      <c r="C67" s="644">
        <f>C55+C65</f>
        <v>1.1700000000000002</v>
      </c>
      <c r="D67" s="624" t="s">
        <v>1</v>
      </c>
      <c r="E67" s="170"/>
      <c r="F67" s="170"/>
      <c r="G67" s="170"/>
      <c r="H67" s="170"/>
      <c r="I67" s="170"/>
      <c r="J67" s="170"/>
      <c r="K67" s="170"/>
      <c r="N67" s="155"/>
    </row>
    <row r="68" spans="1:15" s="270" customFormat="1" ht="12.7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653"/>
      <c r="O68" s="270">
        <v>1.04</v>
      </c>
    </row>
    <row r="69" spans="1:14" s="270" customFormat="1" ht="15">
      <c r="A69" s="654" t="str">
        <f>'ORÇAMENTO NÃO DESONERADO'!A48</f>
        <v>5.2.2</v>
      </c>
      <c r="B69" s="1099" t="str">
        <f>'ORÇAMENTO NÃO DESONERADO'!C48</f>
        <v>FABRICAÇÃO, MONTAGEM E DESMONTAGEM DE FÔRMA PARA VIGA BALDRAME, EM MADEIRA SERRADA, E=25 MM, 4 UTILIZAÇÕES. AF_06/2017</v>
      </c>
      <c r="C69" s="1099"/>
      <c r="D69" s="1099"/>
      <c r="E69" s="1099"/>
      <c r="F69" s="1099"/>
      <c r="G69" s="1099"/>
      <c r="H69" s="1099"/>
      <c r="I69" s="1099"/>
      <c r="J69" s="1099"/>
      <c r="K69" s="1099"/>
      <c r="L69" s="1099"/>
      <c r="M69" s="1099"/>
      <c r="N69" s="1099"/>
    </row>
    <row r="70" spans="1:14" s="270" customFormat="1" ht="12.7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</row>
    <row r="71" spans="1:14" s="270" customFormat="1" ht="15" customHeight="1">
      <c r="A71" s="385"/>
      <c r="B71" s="605" t="s">
        <v>189</v>
      </c>
      <c r="C71" s="605"/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157"/>
    </row>
    <row r="72" spans="1:14" s="270" customFormat="1" ht="12.75" customHeight="1">
      <c r="A72" s="288"/>
      <c r="B72" s="603" t="s">
        <v>143</v>
      </c>
      <c r="C72" s="603"/>
      <c r="D72" s="603" t="s">
        <v>190</v>
      </c>
      <c r="E72" s="603"/>
      <c r="F72" s="603" t="s">
        <v>459</v>
      </c>
      <c r="G72" s="603"/>
      <c r="H72" s="603" t="s">
        <v>460</v>
      </c>
      <c r="I72" s="603"/>
      <c r="J72" s="603" t="s">
        <v>191</v>
      </c>
      <c r="K72" s="605"/>
      <c r="L72" s="617" t="s">
        <v>159</v>
      </c>
      <c r="M72" s="605"/>
      <c r="N72" s="605"/>
    </row>
    <row r="73" spans="1:14" s="270" customFormat="1" ht="12.75" customHeight="1">
      <c r="A73" s="631" t="s">
        <v>457</v>
      </c>
      <c r="B73" s="603">
        <v>0.9</v>
      </c>
      <c r="C73" s="603" t="s">
        <v>93</v>
      </c>
      <c r="D73" s="603">
        <v>0.7</v>
      </c>
      <c r="E73" s="619" t="s">
        <v>458</v>
      </c>
      <c r="F73" s="604">
        <v>2</v>
      </c>
      <c r="G73" s="603" t="s">
        <v>28</v>
      </c>
      <c r="H73" s="603">
        <v>0.3</v>
      </c>
      <c r="I73" s="603" t="s">
        <v>28</v>
      </c>
      <c r="J73" s="604">
        <v>2</v>
      </c>
      <c r="K73" s="605" t="s">
        <v>29</v>
      </c>
      <c r="L73" s="618">
        <f>ROUND(((B73+D73)*F73*H73*J73),2)</f>
        <v>1.92</v>
      </c>
      <c r="M73" s="619" t="s">
        <v>444</v>
      </c>
      <c r="N73" s="157"/>
    </row>
    <row r="74" spans="1:14" s="270" customFormat="1" ht="12.75" customHeight="1">
      <c r="A74" s="631" t="s">
        <v>457</v>
      </c>
      <c r="B74" s="603">
        <v>0.9</v>
      </c>
      <c r="C74" s="603" t="s">
        <v>93</v>
      </c>
      <c r="D74" s="603">
        <v>0.7</v>
      </c>
      <c r="E74" s="619" t="s">
        <v>458</v>
      </c>
      <c r="F74" s="604">
        <v>2</v>
      </c>
      <c r="G74" s="603" t="s">
        <v>28</v>
      </c>
      <c r="H74" s="603">
        <v>0.3</v>
      </c>
      <c r="I74" s="603" t="s">
        <v>28</v>
      </c>
      <c r="J74" s="604">
        <v>4</v>
      </c>
      <c r="K74" s="605" t="s">
        <v>29</v>
      </c>
      <c r="L74" s="618">
        <f aca="true" t="shared" si="5" ref="L74:L78">ROUND(((B74+D74)*F74*H74*J74),2)</f>
        <v>3.84</v>
      </c>
      <c r="M74" s="619" t="s">
        <v>445</v>
      </c>
      <c r="N74" s="157"/>
    </row>
    <row r="75" spans="1:14" s="270" customFormat="1" ht="12.75" customHeight="1">
      <c r="A75" s="631" t="s">
        <v>457</v>
      </c>
      <c r="B75" s="603">
        <v>0.9</v>
      </c>
      <c r="C75" s="603" t="s">
        <v>93</v>
      </c>
      <c r="D75" s="603">
        <v>0.7</v>
      </c>
      <c r="E75" s="619" t="s">
        <v>458</v>
      </c>
      <c r="F75" s="604">
        <v>2</v>
      </c>
      <c r="G75" s="603" t="s">
        <v>28</v>
      </c>
      <c r="H75" s="603">
        <v>0.3</v>
      </c>
      <c r="I75" s="603" t="s">
        <v>28</v>
      </c>
      <c r="J75" s="604">
        <v>4</v>
      </c>
      <c r="K75" s="605" t="s">
        <v>29</v>
      </c>
      <c r="L75" s="618">
        <f t="shared" si="5"/>
        <v>3.84</v>
      </c>
      <c r="M75" s="619" t="s">
        <v>446</v>
      </c>
      <c r="N75" s="157"/>
    </row>
    <row r="76" spans="1:14" s="270" customFormat="1" ht="12.75" customHeight="1">
      <c r="A76" s="631" t="s">
        <v>457</v>
      </c>
      <c r="B76" s="603">
        <v>0.9</v>
      </c>
      <c r="C76" s="603" t="s">
        <v>93</v>
      </c>
      <c r="D76" s="603">
        <v>0.7</v>
      </c>
      <c r="E76" s="619" t="s">
        <v>458</v>
      </c>
      <c r="F76" s="604">
        <v>2</v>
      </c>
      <c r="G76" s="603" t="s">
        <v>28</v>
      </c>
      <c r="H76" s="603">
        <v>0.3</v>
      </c>
      <c r="I76" s="603" t="s">
        <v>28</v>
      </c>
      <c r="J76" s="604">
        <v>4</v>
      </c>
      <c r="K76" s="605" t="s">
        <v>29</v>
      </c>
      <c r="L76" s="618">
        <f t="shared" si="5"/>
        <v>3.84</v>
      </c>
      <c r="M76" s="619" t="s">
        <v>447</v>
      </c>
      <c r="N76" s="157"/>
    </row>
    <row r="77" spans="1:14" s="270" customFormat="1" ht="12.75" customHeight="1">
      <c r="A77" s="631" t="s">
        <v>457</v>
      </c>
      <c r="B77" s="603">
        <v>0.9</v>
      </c>
      <c r="C77" s="603" t="s">
        <v>93</v>
      </c>
      <c r="D77" s="603">
        <v>0.7</v>
      </c>
      <c r="E77" s="619" t="s">
        <v>458</v>
      </c>
      <c r="F77" s="604">
        <v>2</v>
      </c>
      <c r="G77" s="603" t="s">
        <v>28</v>
      </c>
      <c r="H77" s="603">
        <v>0.3</v>
      </c>
      <c r="I77" s="603" t="s">
        <v>28</v>
      </c>
      <c r="J77" s="604">
        <v>3</v>
      </c>
      <c r="K77" s="605" t="s">
        <v>29</v>
      </c>
      <c r="L77" s="618">
        <f t="shared" si="5"/>
        <v>2.88</v>
      </c>
      <c r="M77" s="619" t="s">
        <v>478</v>
      </c>
      <c r="N77" s="157"/>
    </row>
    <row r="78" spans="1:14" s="270" customFormat="1" ht="12.75" customHeight="1">
      <c r="A78" s="631" t="s">
        <v>457</v>
      </c>
      <c r="B78" s="603">
        <v>0.9</v>
      </c>
      <c r="C78" s="603" t="s">
        <v>93</v>
      </c>
      <c r="D78" s="603">
        <v>0.7</v>
      </c>
      <c r="E78" s="619" t="s">
        <v>458</v>
      </c>
      <c r="F78" s="604">
        <v>2</v>
      </c>
      <c r="G78" s="603" t="s">
        <v>28</v>
      </c>
      <c r="H78" s="603">
        <v>0.3</v>
      </c>
      <c r="I78" s="603" t="s">
        <v>28</v>
      </c>
      <c r="J78" s="604">
        <v>2</v>
      </c>
      <c r="K78" s="605" t="s">
        <v>29</v>
      </c>
      <c r="L78" s="618">
        <f t="shared" si="5"/>
        <v>1.92</v>
      </c>
      <c r="M78" s="619" t="s">
        <v>449</v>
      </c>
      <c r="N78" s="157"/>
    </row>
    <row r="79" spans="1:14" s="270" customFormat="1" ht="15">
      <c r="A79" s="288"/>
      <c r="B79" s="603"/>
      <c r="C79" s="603"/>
      <c r="D79" s="603"/>
      <c r="E79" s="603"/>
      <c r="F79" s="603"/>
      <c r="G79" s="603"/>
      <c r="H79" s="604"/>
      <c r="I79" s="605"/>
      <c r="J79" s="605"/>
      <c r="K79" s="603"/>
      <c r="L79" s="618"/>
      <c r="M79" s="157"/>
      <c r="N79" s="157"/>
    </row>
    <row r="80" spans="1:14" s="270" customFormat="1" ht="15" customHeight="1">
      <c r="A80" s="385"/>
      <c r="B80" s="605" t="s">
        <v>142</v>
      </c>
      <c r="C80" s="605"/>
      <c r="D80" s="605"/>
      <c r="E80" s="605"/>
      <c r="F80" s="605"/>
      <c r="G80" s="605"/>
      <c r="H80" s="605"/>
      <c r="I80" s="605"/>
      <c r="J80" s="605"/>
      <c r="K80" s="605"/>
      <c r="L80" s="605"/>
      <c r="M80" s="157"/>
      <c r="N80" s="157"/>
    </row>
    <row r="81" spans="1:14" s="270" customFormat="1" ht="12.75" customHeight="1">
      <c r="A81" s="288"/>
      <c r="B81" s="603" t="s">
        <v>143</v>
      </c>
      <c r="C81" s="603"/>
      <c r="D81" s="603" t="s">
        <v>190</v>
      </c>
      <c r="E81" s="603"/>
      <c r="F81" s="603" t="s">
        <v>459</v>
      </c>
      <c r="G81" s="603"/>
      <c r="H81" s="603" t="s">
        <v>464</v>
      </c>
      <c r="I81" s="603"/>
      <c r="J81" s="603" t="s">
        <v>191</v>
      </c>
      <c r="K81" s="605"/>
      <c r="L81" s="617" t="s">
        <v>159</v>
      </c>
      <c r="M81" s="605"/>
      <c r="N81" s="157"/>
    </row>
    <row r="82" spans="1:14" s="270" customFormat="1" ht="12.75" customHeight="1">
      <c r="A82" s="631" t="s">
        <v>457</v>
      </c>
      <c r="B82" s="603">
        <v>0.2</v>
      </c>
      <c r="C82" s="603" t="s">
        <v>93</v>
      </c>
      <c r="D82" s="603">
        <v>0.3</v>
      </c>
      <c r="E82" s="619" t="s">
        <v>458</v>
      </c>
      <c r="F82" s="604">
        <v>2</v>
      </c>
      <c r="G82" s="603" t="s">
        <v>28</v>
      </c>
      <c r="H82" s="603">
        <v>0.73</v>
      </c>
      <c r="I82" s="603" t="s">
        <v>28</v>
      </c>
      <c r="J82" s="604">
        <v>2</v>
      </c>
      <c r="K82" s="605" t="s">
        <v>29</v>
      </c>
      <c r="L82" s="618">
        <f>ROUND(((B82+D82)*F82*H82*J82),2)</f>
        <v>1.46</v>
      </c>
      <c r="M82" s="619" t="s">
        <v>444</v>
      </c>
      <c r="N82" s="157"/>
    </row>
    <row r="83" spans="1:14" s="270" customFormat="1" ht="12.75" customHeight="1">
      <c r="A83" s="631" t="s">
        <v>457</v>
      </c>
      <c r="B83" s="603">
        <v>0.2</v>
      </c>
      <c r="C83" s="603" t="s">
        <v>93</v>
      </c>
      <c r="D83" s="603">
        <v>0.3</v>
      </c>
      <c r="E83" s="619" t="s">
        <v>458</v>
      </c>
      <c r="F83" s="604">
        <v>2</v>
      </c>
      <c r="G83" s="603" t="s">
        <v>28</v>
      </c>
      <c r="H83" s="603">
        <v>0.73</v>
      </c>
      <c r="I83" s="603" t="s">
        <v>28</v>
      </c>
      <c r="J83" s="604">
        <v>4</v>
      </c>
      <c r="K83" s="605" t="s">
        <v>29</v>
      </c>
      <c r="L83" s="618">
        <f>ROUND(((B83+D83)*F83*H83*J83),2)</f>
        <v>2.92</v>
      </c>
      <c r="M83" s="619" t="s">
        <v>445</v>
      </c>
      <c r="N83" s="157"/>
    </row>
    <row r="84" spans="1:14" s="270" customFormat="1" ht="12.75" customHeight="1">
      <c r="A84" s="631" t="s">
        <v>457</v>
      </c>
      <c r="B84" s="603">
        <v>0.2</v>
      </c>
      <c r="C84" s="603" t="s">
        <v>93</v>
      </c>
      <c r="D84" s="603">
        <v>0.3</v>
      </c>
      <c r="E84" s="619" t="s">
        <v>458</v>
      </c>
      <c r="F84" s="604">
        <v>2</v>
      </c>
      <c r="G84" s="603" t="s">
        <v>28</v>
      </c>
      <c r="H84" s="603">
        <v>0.73</v>
      </c>
      <c r="I84" s="603" t="s">
        <v>28</v>
      </c>
      <c r="J84" s="604">
        <v>4</v>
      </c>
      <c r="K84" s="605" t="s">
        <v>29</v>
      </c>
      <c r="L84" s="618">
        <f aca="true" t="shared" si="6" ref="L84:L86">ROUND(((B84+D84)*F84*H84*J84),2)</f>
        <v>2.92</v>
      </c>
      <c r="M84" s="619" t="s">
        <v>446</v>
      </c>
      <c r="N84" s="157"/>
    </row>
    <row r="85" spans="1:14" s="270" customFormat="1" ht="12.75" customHeight="1">
      <c r="A85" s="631" t="s">
        <v>457</v>
      </c>
      <c r="B85" s="603">
        <v>0.15</v>
      </c>
      <c r="C85" s="603" t="s">
        <v>93</v>
      </c>
      <c r="D85" s="603">
        <v>0.3</v>
      </c>
      <c r="E85" s="619" t="s">
        <v>458</v>
      </c>
      <c r="F85" s="604">
        <v>2</v>
      </c>
      <c r="G85" s="603" t="s">
        <v>28</v>
      </c>
      <c r="H85" s="603">
        <v>0.73</v>
      </c>
      <c r="I85" s="603" t="s">
        <v>28</v>
      </c>
      <c r="J85" s="604">
        <v>4</v>
      </c>
      <c r="K85" s="605" t="s">
        <v>29</v>
      </c>
      <c r="L85" s="618">
        <f t="shared" si="6"/>
        <v>2.63</v>
      </c>
      <c r="M85" s="619" t="s">
        <v>447</v>
      </c>
      <c r="N85" s="157"/>
    </row>
    <row r="86" spans="1:14" s="270" customFormat="1" ht="12.75" customHeight="1">
      <c r="A86" s="631" t="s">
        <v>457</v>
      </c>
      <c r="B86" s="603">
        <v>0.15</v>
      </c>
      <c r="C86" s="603" t="s">
        <v>93</v>
      </c>
      <c r="D86" s="603">
        <v>0.2</v>
      </c>
      <c r="E86" s="619" t="s">
        <v>458</v>
      </c>
      <c r="F86" s="604">
        <v>2</v>
      </c>
      <c r="G86" s="603" t="s">
        <v>28</v>
      </c>
      <c r="H86" s="603">
        <v>0.73</v>
      </c>
      <c r="I86" s="603" t="s">
        <v>28</v>
      </c>
      <c r="J86" s="604">
        <v>3</v>
      </c>
      <c r="K86" s="605" t="s">
        <v>29</v>
      </c>
      <c r="L86" s="618">
        <f t="shared" si="6"/>
        <v>1.53</v>
      </c>
      <c r="M86" s="619" t="s">
        <v>479</v>
      </c>
      <c r="N86" s="157"/>
    </row>
    <row r="87" spans="1:14" s="270" customFormat="1" ht="12.75" customHeight="1">
      <c r="A87" s="385"/>
      <c r="B87" s="603" t="s">
        <v>462</v>
      </c>
      <c r="C87" s="603"/>
      <c r="D87" s="603">
        <v>0.942</v>
      </c>
      <c r="E87" s="619" t="s">
        <v>463</v>
      </c>
      <c r="F87" s="604">
        <v>1</v>
      </c>
      <c r="G87" s="603" t="s">
        <v>28</v>
      </c>
      <c r="H87" s="603">
        <v>0.73</v>
      </c>
      <c r="I87" s="603" t="s">
        <v>28</v>
      </c>
      <c r="J87" s="604">
        <v>2</v>
      </c>
      <c r="K87" s="605" t="s">
        <v>29</v>
      </c>
      <c r="L87" s="618">
        <f>ROUND(((D87)*F87*H87*J87),2)</f>
        <v>1.38</v>
      </c>
      <c r="M87" s="619" t="s">
        <v>449</v>
      </c>
      <c r="N87" s="157"/>
    </row>
    <row r="88" spans="1:14" s="270" customFormat="1" ht="15">
      <c r="A88" s="288"/>
      <c r="B88" s="603"/>
      <c r="C88" s="603"/>
      <c r="D88" s="603"/>
      <c r="E88" s="603"/>
      <c r="F88" s="603"/>
      <c r="G88" s="603"/>
      <c r="H88" s="604"/>
      <c r="I88" s="605"/>
      <c r="J88" s="605"/>
      <c r="K88" s="603"/>
      <c r="L88" s="618"/>
      <c r="M88" s="605"/>
      <c r="N88" s="157"/>
    </row>
    <row r="89" spans="1:14" s="270" customFormat="1" ht="12.75">
      <c r="A89" s="385"/>
      <c r="B89" s="620" t="s">
        <v>32</v>
      </c>
      <c r="C89" s="621">
        <f>SUM(L73:L78)+SUM(L82:L88)</f>
        <v>31.080000000000002</v>
      </c>
      <c r="D89" s="622" t="s">
        <v>1</v>
      </c>
      <c r="E89" s="605"/>
      <c r="F89" s="605"/>
      <c r="G89" s="605"/>
      <c r="H89" s="605"/>
      <c r="I89" s="605"/>
      <c r="J89" s="605"/>
      <c r="K89" s="605"/>
      <c r="L89" s="605"/>
      <c r="M89" s="605"/>
      <c r="N89" s="157"/>
    </row>
    <row r="90" spans="1:14" s="270" customFormat="1" ht="15">
      <c r="A90" s="288"/>
      <c r="B90" s="605"/>
      <c r="C90" s="605"/>
      <c r="D90" s="605"/>
      <c r="E90" s="605"/>
      <c r="F90" s="605"/>
      <c r="G90" s="605"/>
      <c r="H90" s="605"/>
      <c r="I90" s="605"/>
      <c r="J90" s="605"/>
      <c r="K90" s="605"/>
      <c r="L90" s="605"/>
      <c r="M90" s="605"/>
      <c r="N90" s="157"/>
    </row>
    <row r="91" spans="1:14" s="270" customFormat="1" ht="15">
      <c r="A91" s="288"/>
      <c r="B91" s="623" t="s">
        <v>145</v>
      </c>
      <c r="C91" s="623"/>
      <c r="D91" s="605"/>
      <c r="E91" s="605"/>
      <c r="F91" s="605"/>
      <c r="G91" s="605"/>
      <c r="H91" s="605"/>
      <c r="I91" s="605"/>
      <c r="J91" s="605"/>
      <c r="K91" s="605"/>
      <c r="L91" s="605"/>
      <c r="M91" s="605"/>
      <c r="N91" s="157"/>
    </row>
    <row r="92" spans="1:14" s="270" customFormat="1" ht="15">
      <c r="A92" s="288"/>
      <c r="B92" s="603" t="s">
        <v>143</v>
      </c>
      <c r="C92" s="603"/>
      <c r="D92" s="603" t="s">
        <v>465</v>
      </c>
      <c r="E92" s="603"/>
      <c r="F92" s="603" t="s">
        <v>459</v>
      </c>
      <c r="G92" s="605"/>
      <c r="H92" s="603" t="s">
        <v>193</v>
      </c>
      <c r="I92" s="605"/>
      <c r="J92" s="605"/>
      <c r="K92" s="605"/>
      <c r="L92" s="605"/>
      <c r="M92" s="605"/>
      <c r="N92" s="157"/>
    </row>
    <row r="93" spans="1:14" s="270" customFormat="1" ht="15">
      <c r="A93" s="288"/>
      <c r="B93" s="603">
        <f>14.02</f>
        <v>14.02</v>
      </c>
      <c r="C93" s="603" t="s">
        <v>28</v>
      </c>
      <c r="D93" s="603">
        <f>0.4</f>
        <v>0.4</v>
      </c>
      <c r="E93" s="603" t="s">
        <v>28</v>
      </c>
      <c r="F93" s="604">
        <v>2</v>
      </c>
      <c r="G93" s="603" t="s">
        <v>28</v>
      </c>
      <c r="H93" s="604">
        <v>2</v>
      </c>
      <c r="I93" s="596" t="s">
        <v>29</v>
      </c>
      <c r="J93" s="603">
        <f aca="true" t="shared" si="7" ref="J93:J97">ROUND((B93*D93*F93*H93),2)</f>
        <v>22.43</v>
      </c>
      <c r="K93" s="619" t="s">
        <v>451</v>
      </c>
      <c r="L93" s="605"/>
      <c r="M93" s="605"/>
      <c r="N93" s="157"/>
    </row>
    <row r="94" spans="1:14" s="270" customFormat="1" ht="15">
      <c r="A94" s="288"/>
      <c r="B94" s="603">
        <v>9.67</v>
      </c>
      <c r="C94" s="603" t="s">
        <v>28</v>
      </c>
      <c r="D94" s="603">
        <f>0.4</f>
        <v>0.4</v>
      </c>
      <c r="E94" s="603" t="s">
        <v>28</v>
      </c>
      <c r="F94" s="604">
        <v>2</v>
      </c>
      <c r="G94" s="603" t="s">
        <v>28</v>
      </c>
      <c r="H94" s="604">
        <v>2</v>
      </c>
      <c r="I94" s="605" t="s">
        <v>29</v>
      </c>
      <c r="J94" s="603">
        <f t="shared" si="7"/>
        <v>15.47</v>
      </c>
      <c r="K94" s="619" t="s">
        <v>452</v>
      </c>
      <c r="L94" s="605"/>
      <c r="M94" s="605"/>
      <c r="N94" s="157"/>
    </row>
    <row r="95" spans="1:14" s="270" customFormat="1" ht="15">
      <c r="A95" s="288"/>
      <c r="B95" s="603">
        <v>2.65</v>
      </c>
      <c r="C95" s="603" t="s">
        <v>28</v>
      </c>
      <c r="D95" s="603">
        <f>0.3</f>
        <v>0.3</v>
      </c>
      <c r="E95" s="603" t="s">
        <v>28</v>
      </c>
      <c r="F95" s="604">
        <v>2</v>
      </c>
      <c r="G95" s="603" t="s">
        <v>28</v>
      </c>
      <c r="H95" s="604">
        <v>2</v>
      </c>
      <c r="I95" s="605" t="s">
        <v>29</v>
      </c>
      <c r="J95" s="603">
        <f t="shared" si="7"/>
        <v>3.18</v>
      </c>
      <c r="K95" s="619" t="s">
        <v>453</v>
      </c>
      <c r="L95" s="605"/>
      <c r="M95" s="605"/>
      <c r="N95" s="157"/>
    </row>
    <row r="96" spans="1:14" s="270" customFormat="1" ht="15">
      <c r="A96" s="288"/>
      <c r="B96" s="603">
        <f>1.63+3.28</f>
        <v>4.91</v>
      </c>
      <c r="C96" s="603" t="s">
        <v>28</v>
      </c>
      <c r="D96" s="603">
        <f>0.3</f>
        <v>0.3</v>
      </c>
      <c r="E96" s="603" t="s">
        <v>28</v>
      </c>
      <c r="F96" s="604">
        <v>2</v>
      </c>
      <c r="G96" s="603" t="s">
        <v>28</v>
      </c>
      <c r="H96" s="604">
        <v>1</v>
      </c>
      <c r="I96" s="605" t="s">
        <v>29</v>
      </c>
      <c r="J96" s="603">
        <f t="shared" si="7"/>
        <v>2.95</v>
      </c>
      <c r="K96" s="619" t="s">
        <v>454</v>
      </c>
      <c r="L96" s="605"/>
      <c r="M96" s="605"/>
      <c r="N96" s="157"/>
    </row>
    <row r="97" spans="1:14" s="270" customFormat="1" ht="15">
      <c r="A97" s="288"/>
      <c r="B97" s="603">
        <v>2.22</v>
      </c>
      <c r="C97" s="603" t="s">
        <v>28</v>
      </c>
      <c r="D97" s="603">
        <f>0.4</f>
        <v>0.4</v>
      </c>
      <c r="E97" s="603" t="s">
        <v>28</v>
      </c>
      <c r="F97" s="604">
        <v>2</v>
      </c>
      <c r="G97" s="603" t="s">
        <v>28</v>
      </c>
      <c r="H97" s="604">
        <v>1</v>
      </c>
      <c r="I97" s="605" t="s">
        <v>29</v>
      </c>
      <c r="J97" s="603">
        <f t="shared" si="7"/>
        <v>1.78</v>
      </c>
      <c r="K97" s="619" t="s">
        <v>455</v>
      </c>
      <c r="L97" s="605"/>
      <c r="M97" s="605"/>
      <c r="N97" s="157"/>
    </row>
    <row r="98" spans="1:14" s="270" customFormat="1" ht="14.25" customHeight="1">
      <c r="A98" s="385"/>
      <c r="B98" s="603"/>
      <c r="C98" s="603"/>
      <c r="D98" s="603"/>
      <c r="E98" s="603"/>
      <c r="F98" s="603"/>
      <c r="G98" s="603"/>
      <c r="H98" s="604"/>
      <c r="I98" s="605"/>
      <c r="J98" s="603"/>
      <c r="K98" s="619"/>
      <c r="L98" s="605"/>
      <c r="M98" s="605"/>
      <c r="N98" s="157"/>
    </row>
    <row r="99" spans="1:14" s="270" customFormat="1" ht="15">
      <c r="A99" s="288"/>
      <c r="B99" s="620" t="s">
        <v>32</v>
      </c>
      <c r="C99" s="621">
        <f>SUM(J93:J98)</f>
        <v>45.81</v>
      </c>
      <c r="D99" s="622" t="s">
        <v>1</v>
      </c>
      <c r="E99" s="603"/>
      <c r="F99" s="603"/>
      <c r="G99" s="603"/>
      <c r="H99" s="604"/>
      <c r="I99" s="605"/>
      <c r="J99" s="603"/>
      <c r="K99" s="619"/>
      <c r="L99" s="605"/>
      <c r="M99" s="605"/>
      <c r="N99" s="157"/>
    </row>
    <row r="100" spans="1:14" s="270" customFormat="1" ht="15">
      <c r="A100" s="288"/>
      <c r="B100" s="633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634"/>
      <c r="N100" s="157"/>
    </row>
    <row r="101" spans="1:15" ht="15">
      <c r="A101" s="288"/>
      <c r="B101" s="643" t="s">
        <v>141</v>
      </c>
      <c r="C101" s="644">
        <f>C89+C99</f>
        <v>76.89</v>
      </c>
      <c r="D101" s="624" t="s">
        <v>2</v>
      </c>
      <c r="F101" s="392"/>
      <c r="G101" s="392"/>
      <c r="H101" s="392"/>
      <c r="I101" s="392"/>
      <c r="J101" s="392"/>
      <c r="K101" s="392"/>
      <c r="L101" s="392"/>
      <c r="M101" s="634"/>
      <c r="O101">
        <v>68.84</v>
      </c>
    </row>
    <row r="102" ht="12.75" customHeight="1">
      <c r="A102" s="157"/>
    </row>
    <row r="103" spans="1:14" ht="15" customHeight="1">
      <c r="A103" s="406" t="str">
        <f>'ORÇAMENTO NÃO DESONERADO'!A49</f>
        <v>5.2.3</v>
      </c>
      <c r="B103" s="264" t="str">
        <f>'ORÇAMENTO NÃO DESONERADO'!C49</f>
        <v>CONCRETO FCK = 20MPA, TRAÇO 1:2,7:3 (CIMENTO/ AREIA MÉDIA/ BRITA 1)  - PREPARO MECÂNICO COM BETONEIRA 400 L. AF_07/2016</v>
      </c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</row>
    <row r="104" spans="1:14" ht="15" customHeight="1">
      <c r="A104" s="406"/>
      <c r="B104" s="615"/>
      <c r="C104" s="615"/>
      <c r="D104" s="615"/>
      <c r="E104" s="615"/>
      <c r="F104" s="615"/>
      <c r="G104" s="615"/>
      <c r="H104" s="615"/>
      <c r="I104" s="615"/>
      <c r="J104" s="615"/>
      <c r="K104" s="615"/>
      <c r="L104" s="615"/>
      <c r="M104" s="615"/>
      <c r="N104" s="264"/>
    </row>
    <row r="105" spans="1:14" ht="15" customHeight="1">
      <c r="A105" s="406"/>
      <c r="B105" s="615"/>
      <c r="C105" s="615"/>
      <c r="D105" s="615"/>
      <c r="E105" s="615"/>
      <c r="F105" s="615"/>
      <c r="G105" s="615"/>
      <c r="H105" s="615"/>
      <c r="I105" s="615"/>
      <c r="J105" s="615"/>
      <c r="K105" s="615"/>
      <c r="L105" s="615"/>
      <c r="M105" s="615"/>
      <c r="N105" s="264"/>
    </row>
    <row r="106" spans="1:13" ht="12.75">
      <c r="A106" s="385"/>
      <c r="B106" s="616" t="s">
        <v>189</v>
      </c>
      <c r="C106" s="605"/>
      <c r="D106" s="605"/>
      <c r="E106" s="605"/>
      <c r="F106" s="605"/>
      <c r="G106" s="605"/>
      <c r="H106" s="603" t="s">
        <v>9</v>
      </c>
      <c r="I106" s="605"/>
      <c r="J106" s="605"/>
      <c r="K106" s="605"/>
      <c r="L106" s="605"/>
      <c r="M106" s="605"/>
    </row>
    <row r="107" spans="1:13" ht="20.25" customHeight="1">
      <c r="A107" s="288"/>
      <c r="B107" s="603" t="s">
        <v>143</v>
      </c>
      <c r="C107" s="603"/>
      <c r="D107" s="603" t="s">
        <v>190</v>
      </c>
      <c r="E107" s="603"/>
      <c r="F107" s="603" t="s">
        <v>466</v>
      </c>
      <c r="G107" s="603"/>
      <c r="H107" s="603" t="s">
        <v>467</v>
      </c>
      <c r="I107" s="605"/>
      <c r="J107" s="617" t="s">
        <v>194</v>
      </c>
      <c r="K107" s="605"/>
      <c r="L107" s="605"/>
      <c r="M107" s="605"/>
    </row>
    <row r="108" spans="1:13" ht="16.5" customHeight="1">
      <c r="A108" s="288"/>
      <c r="B108" s="603">
        <v>0.9</v>
      </c>
      <c r="C108" s="603" t="s">
        <v>28</v>
      </c>
      <c r="D108" s="603">
        <v>0.7</v>
      </c>
      <c r="E108" s="603" t="s">
        <v>28</v>
      </c>
      <c r="F108" s="603">
        <v>0.3</v>
      </c>
      <c r="G108" s="603" t="s">
        <v>28</v>
      </c>
      <c r="H108" s="604">
        <v>2</v>
      </c>
      <c r="I108" s="605" t="s">
        <v>29</v>
      </c>
      <c r="J108" s="618">
        <f aca="true" t="shared" si="8" ref="J108:J113">ROUND((B108*F108*D108*H108),2)</f>
        <v>0.38</v>
      </c>
      <c r="K108" s="603" t="s">
        <v>1</v>
      </c>
      <c r="L108" s="619" t="s">
        <v>444</v>
      </c>
      <c r="M108" s="605"/>
    </row>
    <row r="109" spans="1:13" ht="19.5" customHeight="1">
      <c r="A109" s="288"/>
      <c r="B109" s="603">
        <v>0.9</v>
      </c>
      <c r="C109" s="603" t="s">
        <v>28</v>
      </c>
      <c r="D109" s="603">
        <v>0.7</v>
      </c>
      <c r="E109" s="603" t="s">
        <v>28</v>
      </c>
      <c r="F109" s="603">
        <v>0.3</v>
      </c>
      <c r="G109" s="603" t="s">
        <v>28</v>
      </c>
      <c r="H109" s="604">
        <v>4</v>
      </c>
      <c r="I109" s="605" t="s">
        <v>29</v>
      </c>
      <c r="J109" s="618">
        <f t="shared" si="8"/>
        <v>0.76</v>
      </c>
      <c r="K109" s="603" t="s">
        <v>1</v>
      </c>
      <c r="L109" s="619" t="s">
        <v>445</v>
      </c>
      <c r="M109" s="605"/>
    </row>
    <row r="110" spans="1:13" ht="20.25" customHeight="1">
      <c r="A110" s="288"/>
      <c r="B110" s="603">
        <v>0.9</v>
      </c>
      <c r="C110" s="603" t="s">
        <v>28</v>
      </c>
      <c r="D110" s="603">
        <v>0.7</v>
      </c>
      <c r="E110" s="603" t="s">
        <v>28</v>
      </c>
      <c r="F110" s="603">
        <v>0.3</v>
      </c>
      <c r="G110" s="603" t="s">
        <v>28</v>
      </c>
      <c r="H110" s="604">
        <v>4</v>
      </c>
      <c r="I110" s="605" t="s">
        <v>29</v>
      </c>
      <c r="J110" s="618">
        <f t="shared" si="8"/>
        <v>0.76</v>
      </c>
      <c r="K110" s="603" t="s">
        <v>1</v>
      </c>
      <c r="L110" s="619" t="s">
        <v>446</v>
      </c>
      <c r="M110" s="605"/>
    </row>
    <row r="111" spans="1:13" ht="17.25" customHeight="1">
      <c r="A111" s="288"/>
      <c r="B111" s="603">
        <v>0.9</v>
      </c>
      <c r="C111" s="603" t="s">
        <v>28</v>
      </c>
      <c r="D111" s="603">
        <v>0.7</v>
      </c>
      <c r="E111" s="603" t="s">
        <v>28</v>
      </c>
      <c r="F111" s="603">
        <v>0.3</v>
      </c>
      <c r="G111" s="603" t="s">
        <v>28</v>
      </c>
      <c r="H111" s="604">
        <v>4</v>
      </c>
      <c r="I111" s="605" t="s">
        <v>29</v>
      </c>
      <c r="J111" s="618">
        <f t="shared" si="8"/>
        <v>0.76</v>
      </c>
      <c r="K111" s="603" t="s">
        <v>1</v>
      </c>
      <c r="L111" s="619" t="s">
        <v>447</v>
      </c>
      <c r="M111" s="605"/>
    </row>
    <row r="112" spans="1:13" ht="20.25" customHeight="1">
      <c r="A112" s="288"/>
      <c r="B112" s="603">
        <v>0.9</v>
      </c>
      <c r="C112" s="603" t="s">
        <v>28</v>
      </c>
      <c r="D112" s="603">
        <v>0.7</v>
      </c>
      <c r="E112" s="603" t="s">
        <v>28</v>
      </c>
      <c r="F112" s="603">
        <v>0.3</v>
      </c>
      <c r="G112" s="603" t="s">
        <v>28</v>
      </c>
      <c r="H112" s="604">
        <v>3</v>
      </c>
      <c r="I112" s="605" t="s">
        <v>29</v>
      </c>
      <c r="J112" s="618">
        <f t="shared" si="8"/>
        <v>0.57</v>
      </c>
      <c r="K112" s="603" t="s">
        <v>1</v>
      </c>
      <c r="L112" s="171" t="s">
        <v>479</v>
      </c>
      <c r="M112" s="605"/>
    </row>
    <row r="113" spans="1:13" ht="16.5" customHeight="1">
      <c r="A113" s="385"/>
      <c r="B113" s="603">
        <v>0.9</v>
      </c>
      <c r="C113" s="603" t="s">
        <v>28</v>
      </c>
      <c r="D113" s="603">
        <v>0.7</v>
      </c>
      <c r="E113" s="603" t="s">
        <v>28</v>
      </c>
      <c r="F113" s="603">
        <v>0.3</v>
      </c>
      <c r="G113" s="603" t="s">
        <v>28</v>
      </c>
      <c r="H113" s="604">
        <v>2</v>
      </c>
      <c r="I113" s="605" t="s">
        <v>29</v>
      </c>
      <c r="J113" s="618">
        <f t="shared" si="8"/>
        <v>0.38</v>
      </c>
      <c r="K113" s="603" t="s">
        <v>1</v>
      </c>
      <c r="L113" s="619" t="s">
        <v>449</v>
      </c>
      <c r="M113" s="605"/>
    </row>
    <row r="114" spans="1:13" ht="18.75" customHeight="1">
      <c r="A114" s="288"/>
      <c r="B114" s="603"/>
      <c r="C114" s="603"/>
      <c r="D114" s="603"/>
      <c r="E114" s="603"/>
      <c r="F114" s="603"/>
      <c r="G114" s="603"/>
      <c r="H114" s="604"/>
      <c r="I114" s="605"/>
      <c r="J114" s="605"/>
      <c r="K114" s="603"/>
      <c r="L114" s="605"/>
      <c r="M114" s="605"/>
    </row>
    <row r="115" spans="1:13" ht="15">
      <c r="A115" s="288"/>
      <c r="B115" s="620" t="s">
        <v>32</v>
      </c>
      <c r="C115" s="621">
        <f>SUM(J108:J113)</f>
        <v>3.61</v>
      </c>
      <c r="D115" s="622" t="s">
        <v>1</v>
      </c>
      <c r="E115" s="605"/>
      <c r="F115" s="605"/>
      <c r="G115" s="605"/>
      <c r="H115" s="605"/>
      <c r="I115" s="605"/>
      <c r="J115" s="605"/>
      <c r="K115" s="605"/>
      <c r="L115" s="605"/>
      <c r="M115" s="605"/>
    </row>
    <row r="116" spans="1:13" ht="18" customHeight="1">
      <c r="A116" s="288"/>
      <c r="B116" s="605"/>
      <c r="C116" s="605"/>
      <c r="D116" s="605"/>
      <c r="E116" s="605"/>
      <c r="F116" s="605"/>
      <c r="G116" s="605"/>
      <c r="H116" s="605"/>
      <c r="I116" s="605"/>
      <c r="J116" s="605"/>
      <c r="K116" s="605"/>
      <c r="L116" s="605"/>
      <c r="M116" s="605"/>
    </row>
    <row r="117" spans="1:13" ht="12.75">
      <c r="A117" s="385"/>
      <c r="B117" s="616" t="s">
        <v>142</v>
      </c>
      <c r="C117" s="605"/>
      <c r="D117" s="605"/>
      <c r="E117" s="605"/>
      <c r="F117" s="605"/>
      <c r="G117" s="605"/>
      <c r="H117" s="603" t="s">
        <v>9</v>
      </c>
      <c r="I117" s="605"/>
      <c r="J117" s="605"/>
      <c r="K117" s="605"/>
      <c r="L117" s="605"/>
      <c r="M117" s="605"/>
    </row>
    <row r="118" spans="1:13" ht="20.25" customHeight="1">
      <c r="A118" s="288"/>
      <c r="B118" s="603" t="s">
        <v>143</v>
      </c>
      <c r="C118" s="603"/>
      <c r="D118" s="603" t="s">
        <v>190</v>
      </c>
      <c r="E118" s="603"/>
      <c r="F118" s="603" t="s">
        <v>466</v>
      </c>
      <c r="G118" s="603"/>
      <c r="H118" s="603" t="s">
        <v>467</v>
      </c>
      <c r="I118" s="605"/>
      <c r="J118" s="617" t="s">
        <v>194</v>
      </c>
      <c r="K118" s="605"/>
      <c r="L118" s="605"/>
      <c r="M118" s="605"/>
    </row>
    <row r="119" spans="1:13" ht="16.5" customHeight="1">
      <c r="A119" s="288"/>
      <c r="B119" s="603">
        <v>0.2</v>
      </c>
      <c r="C119" s="603" t="s">
        <v>28</v>
      </c>
      <c r="D119" s="603">
        <v>0.3</v>
      </c>
      <c r="E119" s="603" t="s">
        <v>28</v>
      </c>
      <c r="F119" s="603">
        <f>0.3+0.73+0.05</f>
        <v>1.08</v>
      </c>
      <c r="G119" s="603" t="s">
        <v>28</v>
      </c>
      <c r="H119" s="604">
        <v>2</v>
      </c>
      <c r="I119" s="605" t="s">
        <v>29</v>
      </c>
      <c r="J119" s="618">
        <f aca="true" t="shared" si="9" ref="J119:J124">ROUND((B119*F119*D119*H119),2)</f>
        <v>0.13</v>
      </c>
      <c r="K119" s="603" t="s">
        <v>1</v>
      </c>
      <c r="L119" s="619" t="s">
        <v>444</v>
      </c>
      <c r="M119" s="605"/>
    </row>
    <row r="120" spans="1:13" ht="19.5" customHeight="1">
      <c r="A120" s="288"/>
      <c r="B120" s="603">
        <v>0.2</v>
      </c>
      <c r="C120" s="603" t="s">
        <v>28</v>
      </c>
      <c r="D120" s="603">
        <v>0.3</v>
      </c>
      <c r="E120" s="603" t="s">
        <v>28</v>
      </c>
      <c r="F120" s="603">
        <f aca="true" t="shared" si="10" ref="F120:F124">0.3+0.73+0.05</f>
        <v>1.08</v>
      </c>
      <c r="G120" s="603" t="s">
        <v>28</v>
      </c>
      <c r="H120" s="604">
        <v>4</v>
      </c>
      <c r="I120" s="605" t="s">
        <v>29</v>
      </c>
      <c r="J120" s="618">
        <f t="shared" si="9"/>
        <v>0.26</v>
      </c>
      <c r="K120" s="603" t="s">
        <v>1</v>
      </c>
      <c r="L120" s="619" t="s">
        <v>445</v>
      </c>
      <c r="M120" s="605"/>
    </row>
    <row r="121" spans="1:13" ht="20.25" customHeight="1">
      <c r="A121" s="288"/>
      <c r="B121" s="603">
        <v>0.2</v>
      </c>
      <c r="C121" s="603" t="s">
        <v>28</v>
      </c>
      <c r="D121" s="603">
        <v>0.3</v>
      </c>
      <c r="E121" s="603" t="s">
        <v>28</v>
      </c>
      <c r="F121" s="603">
        <f t="shared" si="10"/>
        <v>1.08</v>
      </c>
      <c r="G121" s="603" t="s">
        <v>28</v>
      </c>
      <c r="H121" s="604">
        <v>4</v>
      </c>
      <c r="I121" s="605" t="s">
        <v>29</v>
      </c>
      <c r="J121" s="618">
        <f t="shared" si="9"/>
        <v>0.26</v>
      </c>
      <c r="K121" s="603" t="s">
        <v>1</v>
      </c>
      <c r="L121" s="619" t="s">
        <v>446</v>
      </c>
      <c r="M121" s="605"/>
    </row>
    <row r="122" spans="1:13" ht="17.25" customHeight="1">
      <c r="A122" s="288"/>
      <c r="B122" s="603">
        <v>0.15</v>
      </c>
      <c r="C122" s="603" t="s">
        <v>28</v>
      </c>
      <c r="D122" s="603">
        <v>0.3</v>
      </c>
      <c r="E122" s="603" t="s">
        <v>28</v>
      </c>
      <c r="F122" s="603">
        <f t="shared" si="10"/>
        <v>1.08</v>
      </c>
      <c r="G122" s="603" t="s">
        <v>28</v>
      </c>
      <c r="H122" s="604">
        <v>4</v>
      </c>
      <c r="I122" s="605" t="s">
        <v>29</v>
      </c>
      <c r="J122" s="618">
        <f t="shared" si="9"/>
        <v>0.19</v>
      </c>
      <c r="K122" s="603" t="s">
        <v>1</v>
      </c>
      <c r="L122" s="619" t="s">
        <v>447</v>
      </c>
      <c r="M122" s="605"/>
    </row>
    <row r="123" spans="1:13" ht="20.25" customHeight="1">
      <c r="A123" s="288"/>
      <c r="B123" s="603">
        <v>0.15</v>
      </c>
      <c r="C123" s="603" t="s">
        <v>28</v>
      </c>
      <c r="D123" s="603">
        <v>0.2</v>
      </c>
      <c r="E123" s="603" t="s">
        <v>28</v>
      </c>
      <c r="F123" s="603">
        <f t="shared" si="10"/>
        <v>1.08</v>
      </c>
      <c r="G123" s="603" t="s">
        <v>28</v>
      </c>
      <c r="H123" s="604">
        <v>3</v>
      </c>
      <c r="I123" s="605" t="s">
        <v>29</v>
      </c>
      <c r="J123" s="618">
        <f t="shared" si="9"/>
        <v>0.1</v>
      </c>
      <c r="K123" s="603" t="s">
        <v>1</v>
      </c>
      <c r="L123" s="171" t="s">
        <v>479</v>
      </c>
      <c r="M123" s="605"/>
    </row>
    <row r="124" spans="1:13" ht="16.5" customHeight="1">
      <c r="A124" s="385" t="s">
        <v>468</v>
      </c>
      <c r="B124" s="603">
        <f>D87</f>
        <v>0.942</v>
      </c>
      <c r="C124" s="603" t="s">
        <v>28</v>
      </c>
      <c r="D124" s="603">
        <v>0.73</v>
      </c>
      <c r="E124" s="603" t="s">
        <v>28</v>
      </c>
      <c r="F124" s="603">
        <f t="shared" si="10"/>
        <v>1.08</v>
      </c>
      <c r="G124" s="603" t="s">
        <v>28</v>
      </c>
      <c r="H124" s="604">
        <v>2</v>
      </c>
      <c r="I124" s="605" t="s">
        <v>29</v>
      </c>
      <c r="J124" s="618">
        <f t="shared" si="9"/>
        <v>1.49</v>
      </c>
      <c r="K124" s="603" t="s">
        <v>1</v>
      </c>
      <c r="L124" s="619" t="s">
        <v>449</v>
      </c>
      <c r="M124" s="605"/>
    </row>
    <row r="125" spans="1:13" ht="18.75" customHeight="1">
      <c r="A125" s="288"/>
      <c r="B125" s="603"/>
      <c r="C125" s="603"/>
      <c r="D125" s="603"/>
      <c r="E125" s="603"/>
      <c r="F125" s="603"/>
      <c r="G125" s="603"/>
      <c r="H125" s="604"/>
      <c r="I125" s="605"/>
      <c r="J125" s="605"/>
      <c r="K125" s="603"/>
      <c r="L125" s="605"/>
      <c r="M125" s="605"/>
    </row>
    <row r="126" spans="1:13" ht="15">
      <c r="A126" s="288"/>
      <c r="B126" s="620" t="s">
        <v>32</v>
      </c>
      <c r="C126" s="621">
        <f>SUM(J119:J124)</f>
        <v>2.43</v>
      </c>
      <c r="D126" s="622" t="s">
        <v>1</v>
      </c>
      <c r="E126" s="605"/>
      <c r="F126" s="605"/>
      <c r="G126" s="605"/>
      <c r="H126" s="605"/>
      <c r="I126" s="605"/>
      <c r="J126" s="605"/>
      <c r="K126" s="605"/>
      <c r="L126" s="605"/>
      <c r="M126" s="605"/>
    </row>
    <row r="127" spans="1:13" ht="18" customHeight="1">
      <c r="A127" s="288"/>
      <c r="B127" s="605"/>
      <c r="C127" s="605"/>
      <c r="D127" s="605"/>
      <c r="E127" s="605"/>
      <c r="F127" s="605"/>
      <c r="G127" s="605"/>
      <c r="H127" s="605"/>
      <c r="I127" s="605"/>
      <c r="J127" s="605"/>
      <c r="K127" s="605"/>
      <c r="L127" s="605"/>
      <c r="M127" s="605"/>
    </row>
    <row r="128" spans="1:13" ht="18" customHeight="1">
      <c r="A128" s="288"/>
      <c r="B128" s="623" t="s">
        <v>145</v>
      </c>
      <c r="C128" s="623"/>
      <c r="D128" s="605"/>
      <c r="E128" s="605"/>
      <c r="F128" s="605"/>
      <c r="G128" s="605"/>
      <c r="H128" s="605"/>
      <c r="I128" s="605"/>
      <c r="J128" s="605"/>
      <c r="K128" s="605"/>
      <c r="L128" s="605"/>
      <c r="M128" s="605"/>
    </row>
    <row r="129" spans="1:13" ht="17.25" customHeight="1">
      <c r="A129" s="288"/>
      <c r="B129" s="603" t="s">
        <v>143</v>
      </c>
      <c r="C129" s="603"/>
      <c r="D129" s="603" t="s">
        <v>200</v>
      </c>
      <c r="E129" s="603"/>
      <c r="F129" s="603" t="s">
        <v>450</v>
      </c>
      <c r="G129" s="605"/>
      <c r="H129" s="603" t="s">
        <v>193</v>
      </c>
      <c r="I129" s="605"/>
      <c r="J129" s="605"/>
      <c r="K129" s="605"/>
      <c r="L129" s="605"/>
      <c r="M129" s="605"/>
    </row>
    <row r="130" spans="1:13" ht="17.25" customHeight="1">
      <c r="A130" s="288"/>
      <c r="B130" s="603">
        <f>14.02</f>
        <v>14.02</v>
      </c>
      <c r="C130" s="603" t="s">
        <v>28</v>
      </c>
      <c r="D130" s="603">
        <v>0.2</v>
      </c>
      <c r="E130" s="603" t="s">
        <v>28</v>
      </c>
      <c r="F130" s="603">
        <f>0.4+0.05</f>
        <v>0.45</v>
      </c>
      <c r="G130" s="603" t="s">
        <v>28</v>
      </c>
      <c r="H130" s="604">
        <v>2</v>
      </c>
      <c r="I130" s="596" t="s">
        <v>29</v>
      </c>
      <c r="J130" s="603">
        <f aca="true" t="shared" si="11" ref="J130:J134">ROUND((B130*D130*F130*H130),2)</f>
        <v>2.52</v>
      </c>
      <c r="K130" s="619" t="s">
        <v>451</v>
      </c>
      <c r="L130" s="605"/>
      <c r="M130" s="605"/>
    </row>
    <row r="131" spans="1:13" ht="23.25" customHeight="1">
      <c r="A131" s="288"/>
      <c r="B131" s="603">
        <v>9.67</v>
      </c>
      <c r="C131" s="603" t="s">
        <v>28</v>
      </c>
      <c r="D131" s="603">
        <v>0.2</v>
      </c>
      <c r="E131" s="603" t="s">
        <v>28</v>
      </c>
      <c r="F131" s="603">
        <f>0.4+0.05</f>
        <v>0.45</v>
      </c>
      <c r="G131" s="603" t="s">
        <v>28</v>
      </c>
      <c r="H131" s="604">
        <v>2</v>
      </c>
      <c r="I131" s="605" t="s">
        <v>29</v>
      </c>
      <c r="J131" s="603">
        <f t="shared" si="11"/>
        <v>1.74</v>
      </c>
      <c r="K131" s="619" t="s">
        <v>452</v>
      </c>
      <c r="L131" s="605"/>
      <c r="M131" s="605"/>
    </row>
    <row r="132" spans="1:13" ht="21.75" customHeight="1">
      <c r="A132" s="288"/>
      <c r="B132" s="603">
        <v>2.65</v>
      </c>
      <c r="C132" s="603" t="s">
        <v>28</v>
      </c>
      <c r="D132" s="603">
        <v>0.15</v>
      </c>
      <c r="E132" s="603" t="s">
        <v>28</v>
      </c>
      <c r="F132" s="603">
        <f>0.3+0.05</f>
        <v>0.35</v>
      </c>
      <c r="G132" s="603" t="s">
        <v>28</v>
      </c>
      <c r="H132" s="604">
        <v>2</v>
      </c>
      <c r="I132" s="605" t="s">
        <v>29</v>
      </c>
      <c r="J132" s="603">
        <f t="shared" si="11"/>
        <v>0.28</v>
      </c>
      <c r="K132" s="619" t="s">
        <v>453</v>
      </c>
      <c r="L132" s="605"/>
      <c r="M132" s="605"/>
    </row>
    <row r="133" spans="1:13" ht="21" customHeight="1">
      <c r="A133" s="385"/>
      <c r="B133" s="603">
        <f>1.63+3.28</f>
        <v>4.91</v>
      </c>
      <c r="C133" s="603" t="s">
        <v>28</v>
      </c>
      <c r="D133" s="603">
        <v>0.15</v>
      </c>
      <c r="E133" s="603" t="s">
        <v>28</v>
      </c>
      <c r="F133" s="603">
        <f>0.3+0.05</f>
        <v>0.35</v>
      </c>
      <c r="G133" s="603" t="s">
        <v>28</v>
      </c>
      <c r="H133" s="604">
        <v>1</v>
      </c>
      <c r="I133" s="605" t="s">
        <v>29</v>
      </c>
      <c r="J133" s="603">
        <f t="shared" si="11"/>
        <v>0.26</v>
      </c>
      <c r="K133" s="619" t="s">
        <v>454</v>
      </c>
      <c r="L133" s="605"/>
      <c r="M133" s="605"/>
    </row>
    <row r="134" spans="1:13" ht="16.5" customHeight="1">
      <c r="A134" s="288"/>
      <c r="B134" s="603">
        <v>2.22</v>
      </c>
      <c r="C134" s="603" t="s">
        <v>28</v>
      </c>
      <c r="D134" s="603">
        <v>0.2</v>
      </c>
      <c r="E134" s="603" t="s">
        <v>28</v>
      </c>
      <c r="F134" s="603">
        <f>0.4+0.05</f>
        <v>0.45</v>
      </c>
      <c r="G134" s="603" t="s">
        <v>28</v>
      </c>
      <c r="H134" s="604">
        <v>1</v>
      </c>
      <c r="I134" s="605" t="s">
        <v>29</v>
      </c>
      <c r="J134" s="603">
        <f t="shared" si="11"/>
        <v>0.2</v>
      </c>
      <c r="K134" s="619" t="s">
        <v>455</v>
      </c>
      <c r="L134" s="605"/>
      <c r="M134" s="605"/>
    </row>
    <row r="135" spans="1:13" ht="15">
      <c r="A135" s="288"/>
      <c r="B135" s="603"/>
      <c r="C135" s="603"/>
      <c r="D135" s="603"/>
      <c r="E135" s="603"/>
      <c r="F135" s="603"/>
      <c r="G135" s="603"/>
      <c r="H135" s="604"/>
      <c r="I135" s="605"/>
      <c r="J135" s="603"/>
      <c r="K135" s="619"/>
      <c r="L135" s="605"/>
      <c r="M135" s="605"/>
    </row>
    <row r="136" spans="1:13" ht="15">
      <c r="A136" s="288"/>
      <c r="B136" s="620" t="s">
        <v>32</v>
      </c>
      <c r="C136" s="621">
        <f>SUM(J129:J134)</f>
        <v>5</v>
      </c>
      <c r="D136" s="622" t="s">
        <v>1</v>
      </c>
      <c r="E136" s="605"/>
      <c r="F136" s="605"/>
      <c r="G136" s="605"/>
      <c r="H136" s="605"/>
      <c r="I136" s="605"/>
      <c r="J136" s="605"/>
      <c r="K136" s="605"/>
      <c r="L136" s="605"/>
      <c r="M136" s="605"/>
    </row>
    <row r="137" spans="1:13" ht="18" customHeight="1">
      <c r="A137" s="288"/>
      <c r="B137" s="605"/>
      <c r="C137" s="605"/>
      <c r="D137" s="605"/>
      <c r="E137" s="605"/>
      <c r="F137" s="605"/>
      <c r="G137" s="605"/>
      <c r="H137" s="605"/>
      <c r="I137" s="605"/>
      <c r="J137" s="605"/>
      <c r="K137" s="605"/>
      <c r="L137" s="605"/>
      <c r="M137" s="605"/>
    </row>
    <row r="138" spans="1:14" ht="12.75" customHeight="1">
      <c r="A138" s="288"/>
      <c r="B138" s="643" t="s">
        <v>141</v>
      </c>
      <c r="C138" s="644">
        <f>C115+C126+C136</f>
        <v>11.04</v>
      </c>
      <c r="D138" s="624" t="s">
        <v>1</v>
      </c>
      <c r="F138" s="392"/>
      <c r="G138" s="392"/>
      <c r="H138" s="392"/>
      <c r="I138" s="613"/>
      <c r="J138" s="613"/>
      <c r="K138" s="613"/>
      <c r="L138" s="613"/>
      <c r="M138" s="613"/>
      <c r="N138" s="157"/>
    </row>
    <row r="139" spans="1:15" s="270" customFormat="1" ht="15" customHeight="1">
      <c r="A139" s="315"/>
      <c r="B139" s="612"/>
      <c r="C139" s="391"/>
      <c r="D139" s="391"/>
      <c r="E139" s="391"/>
      <c r="F139" s="391"/>
      <c r="G139" s="391"/>
      <c r="H139" s="391"/>
      <c r="I139" s="613"/>
      <c r="J139" s="613"/>
      <c r="K139" s="613"/>
      <c r="L139" s="613"/>
      <c r="M139" s="613"/>
      <c r="N139" s="157"/>
      <c r="O139" s="270">
        <v>8.86</v>
      </c>
    </row>
    <row r="140" spans="6:16" ht="12.75">
      <c r="F140" s="157"/>
      <c r="G140" s="157"/>
      <c r="H140" s="157"/>
      <c r="I140" s="157"/>
      <c r="J140" s="157"/>
      <c r="K140" s="157"/>
      <c r="L140" s="157"/>
      <c r="M140" s="157"/>
      <c r="N140" s="614"/>
      <c r="O140" s="138"/>
      <c r="P140" s="138"/>
    </row>
    <row r="141" spans="1:16" ht="28.5" customHeight="1">
      <c r="A141" s="89" t="str">
        <f>'ORÇAMENTO NÃO DESONERADO'!A50</f>
        <v>5.2.4</v>
      </c>
      <c r="B141" s="1091" t="str">
        <f>'ORÇAMENTO NÃO DESONERADO'!C50</f>
        <v>ARMAÇÃO DE PILAR OU VIGA DE UMA ESTRUTURA CONVENCIONAL DE CONCRETO ARMADO EM UMA EDIFICAÇÃO TÉRREA OU SOBRADO UTILIZANDO AÇO CA-60 DE 5,0 MM - MONTAGEM. AF_12/2015</v>
      </c>
      <c r="C141" s="1091"/>
      <c r="D141" s="1091"/>
      <c r="E141" s="1091"/>
      <c r="F141" s="1091"/>
      <c r="G141" s="1091"/>
      <c r="H141" s="1091"/>
      <c r="I141" s="1091"/>
      <c r="J141" s="1091"/>
      <c r="K141" s="1091"/>
      <c r="L141" s="1091"/>
      <c r="M141" s="1091"/>
      <c r="N141" s="1091"/>
      <c r="O141" s="138"/>
      <c r="P141" s="138"/>
    </row>
    <row r="142" spans="1:16" s="270" customFormat="1" ht="15">
      <c r="A142" s="603"/>
      <c r="B142" s="308"/>
      <c r="C142" s="603"/>
      <c r="D142" s="603"/>
      <c r="E142" s="603"/>
      <c r="F142" s="604"/>
      <c r="G142" s="605"/>
      <c r="H142" s="605"/>
      <c r="I142" s="605"/>
      <c r="J142" s="605"/>
      <c r="K142" s="605"/>
      <c r="L142" s="605"/>
      <c r="M142" s="605"/>
      <c r="N142" s="396"/>
      <c r="O142" s="606"/>
      <c r="P142" s="141"/>
    </row>
    <row r="143" spans="1:16" s="270" customFormat="1" ht="15">
      <c r="A143" s="603"/>
      <c r="B143" s="611" t="s">
        <v>145</v>
      </c>
      <c r="C143" s="603">
        <v>7.58</v>
      </c>
      <c r="D143" s="603"/>
      <c r="E143" s="603"/>
      <c r="F143" s="604"/>
      <c r="G143" s="605"/>
      <c r="H143" s="605"/>
      <c r="I143" s="605"/>
      <c r="J143" s="605"/>
      <c r="K143" s="605"/>
      <c r="L143" s="605"/>
      <c r="M143" s="605"/>
      <c r="N143" s="396"/>
      <c r="O143" s="606"/>
      <c r="P143" s="141"/>
    </row>
    <row r="144" spans="1:16" s="270" customFormat="1" ht="15">
      <c r="A144" s="603"/>
      <c r="B144" s="308"/>
      <c r="C144" s="603"/>
      <c r="D144" s="603"/>
      <c r="E144" s="603"/>
      <c r="F144" s="604"/>
      <c r="G144" s="605"/>
      <c r="H144" s="605"/>
      <c r="I144" s="605"/>
      <c r="J144" s="605"/>
      <c r="K144" s="605"/>
      <c r="L144" s="605"/>
      <c r="M144" s="605"/>
      <c r="N144" s="396"/>
      <c r="O144" s="606"/>
      <c r="P144" s="141"/>
    </row>
    <row r="145" spans="1:16" s="270" customFormat="1" ht="15">
      <c r="A145" s="603"/>
      <c r="B145" s="643" t="s">
        <v>32</v>
      </c>
      <c r="C145" s="644">
        <f>SUM(C142:C144)</f>
        <v>7.58</v>
      </c>
      <c r="D145" s="645" t="s">
        <v>30</v>
      </c>
      <c r="E145" s="603"/>
      <c r="F145" s="604"/>
      <c r="G145" s="605"/>
      <c r="H145" s="605"/>
      <c r="I145" s="605"/>
      <c r="J145" s="605"/>
      <c r="K145" s="605"/>
      <c r="L145" s="605"/>
      <c r="M145" s="605"/>
      <c r="N145" s="396"/>
      <c r="O145" s="607"/>
      <c r="P145" s="311"/>
    </row>
    <row r="146" spans="1:16" s="270" customFormat="1" ht="12.75">
      <c r="A146" s="157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608"/>
      <c r="O146" s="601"/>
      <c r="P146" s="141"/>
    </row>
    <row r="147" spans="1:14" ht="15" customHeight="1">
      <c r="A147" s="89" t="str">
        <f>'ORÇAMENTO NÃO DESONERADO'!A51</f>
        <v>5.2.5</v>
      </c>
      <c r="B147" s="264" t="str">
        <f>'ORÇAMENTO NÃO DESONERADO'!C51</f>
        <v>ARMAÇÃO DE BLOCO, VIGA BALDRAME OU SAPATA UTILIZANDO AÇO CA-50 DE 6,3 MM - MONTAGEM. AF_06/2017</v>
      </c>
      <c r="C147" s="264"/>
      <c r="D147" s="264"/>
      <c r="E147" s="264"/>
      <c r="F147" s="615"/>
      <c r="G147" s="615"/>
      <c r="H147" s="615"/>
      <c r="I147" s="615"/>
      <c r="J147" s="615"/>
      <c r="K147" s="615"/>
      <c r="L147" s="615"/>
      <c r="M147" s="615"/>
      <c r="N147" s="615"/>
    </row>
    <row r="148" spans="1:16" s="270" customFormat="1" ht="15">
      <c r="A148" s="603"/>
      <c r="B148" s="308"/>
      <c r="C148" s="603"/>
      <c r="D148" s="603"/>
      <c r="E148" s="603"/>
      <c r="F148" s="604"/>
      <c r="G148" s="605"/>
      <c r="H148" s="605"/>
      <c r="I148" s="605"/>
      <c r="J148" s="605"/>
      <c r="K148" s="605"/>
      <c r="L148" s="605"/>
      <c r="M148" s="605"/>
      <c r="N148" s="396"/>
      <c r="O148" s="606"/>
      <c r="P148" s="141"/>
    </row>
    <row r="149" spans="1:16" s="270" customFormat="1" ht="15">
      <c r="A149" s="603"/>
      <c r="B149" s="611" t="s">
        <v>476</v>
      </c>
      <c r="C149" s="603">
        <v>19.56</v>
      </c>
      <c r="D149" s="603"/>
      <c r="E149" s="603"/>
      <c r="F149" s="604"/>
      <c r="G149" s="605"/>
      <c r="H149" s="605"/>
      <c r="I149" s="605"/>
      <c r="J149" s="605"/>
      <c r="K149" s="605"/>
      <c r="L149" s="605"/>
      <c r="M149" s="605"/>
      <c r="N149" s="396"/>
      <c r="O149" s="606"/>
      <c r="P149" s="141"/>
    </row>
    <row r="150" spans="1:16" s="270" customFormat="1" ht="15">
      <c r="A150" s="603"/>
      <c r="B150" s="611" t="s">
        <v>145</v>
      </c>
      <c r="C150" s="603">
        <v>80.35</v>
      </c>
      <c r="D150" s="603"/>
      <c r="E150" s="603"/>
      <c r="F150" s="604"/>
      <c r="G150" s="605"/>
      <c r="H150" s="605"/>
      <c r="I150" s="605"/>
      <c r="J150" s="605"/>
      <c r="K150" s="605"/>
      <c r="L150" s="605"/>
      <c r="M150" s="605"/>
      <c r="N150" s="396"/>
      <c r="O150" s="606"/>
      <c r="P150" s="141"/>
    </row>
    <row r="151" spans="1:16" s="270" customFormat="1" ht="15">
      <c r="A151" s="603"/>
      <c r="B151" s="308"/>
      <c r="C151" s="603"/>
      <c r="D151" s="603"/>
      <c r="E151" s="603"/>
      <c r="F151" s="604"/>
      <c r="G151" s="605"/>
      <c r="H151" s="605"/>
      <c r="I151" s="605"/>
      <c r="J151" s="605"/>
      <c r="K151" s="605"/>
      <c r="L151" s="605"/>
      <c r="M151" s="605"/>
      <c r="N151" s="396"/>
      <c r="O151" s="606"/>
      <c r="P151" s="141"/>
    </row>
    <row r="152" spans="1:16" s="270" customFormat="1" ht="15">
      <c r="A152" s="603"/>
      <c r="B152" s="643" t="s">
        <v>32</v>
      </c>
      <c r="C152" s="644">
        <f>SUM(C148:C151)</f>
        <v>99.91</v>
      </c>
      <c r="D152" s="645" t="s">
        <v>30</v>
      </c>
      <c r="E152" s="603"/>
      <c r="F152" s="604"/>
      <c r="G152" s="605"/>
      <c r="H152" s="605"/>
      <c r="I152" s="605"/>
      <c r="J152" s="605"/>
      <c r="K152" s="605"/>
      <c r="L152" s="605"/>
      <c r="M152" s="605"/>
      <c r="N152" s="396"/>
      <c r="O152" s="607"/>
      <c r="P152" s="311"/>
    </row>
    <row r="153" spans="1:16" s="270" customFormat="1" ht="12.75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608"/>
      <c r="O153" s="601"/>
      <c r="P153" s="141"/>
    </row>
    <row r="154" spans="1:14" ht="33" customHeight="1">
      <c r="A154" s="89" t="str">
        <f>'ORÇAMENTO NÃO DESONERADO'!A52</f>
        <v>5.2.6</v>
      </c>
      <c r="B154" s="1091" t="str">
        <f>'ORÇAMENTO NÃO DESONERADO'!C52</f>
        <v>ARMAÇÃO DE PILAR OU VIGA DE UMA ESTRUTURA CONVENCIONAL DE CONCRETO ARMADO EM UMA EDIFICAÇÃO TÉRREA OU SOBRADO UTILIZANDO AÇO CA-50 DE 8,0 MM - MONTAGEM. AF_12/2015</v>
      </c>
      <c r="C154" s="1091"/>
      <c r="D154" s="1091"/>
      <c r="E154" s="1091"/>
      <c r="F154" s="1091"/>
      <c r="G154" s="1091"/>
      <c r="H154" s="1091"/>
      <c r="I154" s="1091"/>
      <c r="J154" s="1091"/>
      <c r="K154" s="1091"/>
      <c r="L154" s="1091"/>
      <c r="M154" s="1091"/>
      <c r="N154" s="1091"/>
    </row>
    <row r="155" spans="1:16" s="270" customFormat="1" ht="15">
      <c r="A155" s="603"/>
      <c r="B155" s="308"/>
      <c r="C155" s="603"/>
      <c r="D155" s="603"/>
      <c r="E155" s="603"/>
      <c r="F155" s="604"/>
      <c r="G155" s="605"/>
      <c r="H155" s="605"/>
      <c r="I155" s="605"/>
      <c r="J155" s="605"/>
      <c r="K155" s="605"/>
      <c r="L155" s="605"/>
      <c r="M155" s="605"/>
      <c r="N155" s="396"/>
      <c r="O155" s="606"/>
      <c r="P155" s="141"/>
    </row>
    <row r="156" spans="1:16" s="270" customFormat="1" ht="15">
      <c r="A156" s="603"/>
      <c r="B156" s="611" t="s">
        <v>476</v>
      </c>
      <c r="C156" s="603">
        <v>6.26</v>
      </c>
      <c r="D156" s="603"/>
      <c r="E156" s="603"/>
      <c r="F156" s="604"/>
      <c r="G156" s="605"/>
      <c r="H156" s="605"/>
      <c r="I156" s="605"/>
      <c r="J156" s="605"/>
      <c r="K156" s="605"/>
      <c r="L156" s="605"/>
      <c r="M156" s="605"/>
      <c r="N156" s="396"/>
      <c r="O156" s="606"/>
      <c r="P156" s="141"/>
    </row>
    <row r="157" spans="1:16" s="270" customFormat="1" ht="15">
      <c r="A157" s="603"/>
      <c r="B157" s="611" t="s">
        <v>145</v>
      </c>
      <c r="C157" s="603">
        <v>67.6</v>
      </c>
      <c r="D157" s="603"/>
      <c r="E157" s="603"/>
      <c r="F157" s="604"/>
      <c r="G157" s="605"/>
      <c r="H157" s="605"/>
      <c r="I157" s="605"/>
      <c r="J157" s="605"/>
      <c r="K157" s="605"/>
      <c r="L157" s="605"/>
      <c r="M157" s="605"/>
      <c r="N157" s="396"/>
      <c r="O157" s="606"/>
      <c r="P157" s="141"/>
    </row>
    <row r="158" spans="1:16" s="270" customFormat="1" ht="15">
      <c r="A158" s="603"/>
      <c r="B158" s="308"/>
      <c r="C158" s="603"/>
      <c r="D158" s="603"/>
      <c r="E158" s="603"/>
      <c r="F158" s="604"/>
      <c r="G158" s="605"/>
      <c r="H158" s="605"/>
      <c r="I158" s="605"/>
      <c r="J158" s="605"/>
      <c r="K158" s="605"/>
      <c r="L158" s="605"/>
      <c r="M158" s="605"/>
      <c r="N158" s="396"/>
      <c r="O158" s="606"/>
      <c r="P158" s="141"/>
    </row>
    <row r="159" spans="1:16" s="270" customFormat="1" ht="15">
      <c r="A159" s="603"/>
      <c r="B159" s="643" t="s">
        <v>32</v>
      </c>
      <c r="C159" s="644">
        <f>SUM(C155:C158)</f>
        <v>73.86</v>
      </c>
      <c r="D159" s="645" t="s">
        <v>30</v>
      </c>
      <c r="E159" s="603"/>
      <c r="F159" s="604"/>
      <c r="G159" s="605"/>
      <c r="H159" s="605"/>
      <c r="I159" s="605"/>
      <c r="J159" s="605"/>
      <c r="K159" s="605"/>
      <c r="L159" s="605"/>
      <c r="M159" s="605"/>
      <c r="N159" s="396"/>
      <c r="O159" s="607"/>
      <c r="P159" s="311"/>
    </row>
    <row r="160" spans="1:16" s="270" customFormat="1" ht="12.75">
      <c r="A160" s="157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608"/>
      <c r="O160" s="601"/>
      <c r="P160" s="141"/>
    </row>
    <row r="161" spans="1:14" ht="15" customHeight="1">
      <c r="A161" s="89" t="str">
        <f>'ORÇAMENTO NÃO DESONERADO'!A53</f>
        <v>5.2.7</v>
      </c>
      <c r="B161" s="264" t="str">
        <f>'ORÇAMENTO NÃO DESONERADO'!C53</f>
        <v>ARMAÇÃO DE BLOCO, VIGA BALDRAME OU SAPATA UTILIZANDO AÇO CA-50 DE 10 MM - MONTAGEM. AF_06/2017</v>
      </c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</row>
    <row r="162" spans="1:16" s="270" customFormat="1" ht="15">
      <c r="A162" s="603"/>
      <c r="B162" s="308"/>
      <c r="C162" s="603"/>
      <c r="D162" s="603"/>
      <c r="E162" s="603"/>
      <c r="F162" s="604"/>
      <c r="G162" s="605"/>
      <c r="H162" s="605"/>
      <c r="I162" s="605"/>
      <c r="J162" s="605"/>
      <c r="K162" s="605"/>
      <c r="L162" s="605"/>
      <c r="M162" s="605"/>
      <c r="N162" s="396"/>
      <c r="O162" s="606"/>
      <c r="P162" s="141"/>
    </row>
    <row r="163" spans="1:16" s="270" customFormat="1" ht="15">
      <c r="A163" s="603"/>
      <c r="B163" s="611" t="s">
        <v>476</v>
      </c>
      <c r="C163" s="603">
        <v>169.75</v>
      </c>
      <c r="D163" s="603"/>
      <c r="E163" s="603"/>
      <c r="F163" s="604"/>
      <c r="G163" s="605"/>
      <c r="H163" s="605"/>
      <c r="I163" s="605"/>
      <c r="J163" s="605"/>
      <c r="K163" s="605"/>
      <c r="L163" s="605"/>
      <c r="M163" s="605"/>
      <c r="N163" s="396"/>
      <c r="O163" s="606"/>
      <c r="P163" s="141"/>
    </row>
    <row r="164" spans="1:16" s="270" customFormat="1" ht="15">
      <c r="A164" s="603"/>
      <c r="B164" s="611" t="s">
        <v>145</v>
      </c>
      <c r="C164" s="603">
        <v>101.77</v>
      </c>
      <c r="D164" s="603"/>
      <c r="E164" s="603"/>
      <c r="F164" s="604"/>
      <c r="G164" s="605"/>
      <c r="H164" s="605"/>
      <c r="I164" s="605"/>
      <c r="J164" s="605"/>
      <c r="K164" s="605"/>
      <c r="L164" s="605"/>
      <c r="M164" s="605"/>
      <c r="N164" s="396"/>
      <c r="O164" s="606"/>
      <c r="P164" s="141"/>
    </row>
    <row r="165" spans="1:16" s="270" customFormat="1" ht="15">
      <c r="A165" s="603"/>
      <c r="B165" s="308"/>
      <c r="C165" s="603"/>
      <c r="D165" s="603"/>
      <c r="E165" s="603"/>
      <c r="F165" s="604"/>
      <c r="G165" s="605"/>
      <c r="H165" s="605"/>
      <c r="I165" s="605"/>
      <c r="J165" s="605"/>
      <c r="K165" s="605"/>
      <c r="L165" s="605"/>
      <c r="M165" s="605"/>
      <c r="N165" s="396"/>
      <c r="O165" s="606"/>
      <c r="P165" s="141"/>
    </row>
    <row r="166" spans="1:16" s="270" customFormat="1" ht="15">
      <c r="A166" s="603"/>
      <c r="B166" s="643" t="s">
        <v>32</v>
      </c>
      <c r="C166" s="644">
        <f>SUM(C162:C165)</f>
        <v>271.52</v>
      </c>
      <c r="D166" s="645" t="s">
        <v>30</v>
      </c>
      <c r="E166" s="603"/>
      <c r="F166" s="604"/>
      <c r="G166" s="605"/>
      <c r="H166" s="605"/>
      <c r="I166" s="605"/>
      <c r="J166" s="605"/>
      <c r="K166" s="605"/>
      <c r="L166" s="605"/>
      <c r="M166" s="605"/>
      <c r="N166" s="396"/>
      <c r="O166" s="607"/>
      <c r="P166" s="311"/>
    </row>
    <row r="167" spans="1:16" s="270" customFormat="1" ht="12.75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608"/>
      <c r="O167" s="601"/>
      <c r="P167" s="141"/>
    </row>
    <row r="168" spans="1:16" ht="15">
      <c r="A168" s="625" t="str">
        <f>'ORÇAMENTO NÃO DESONERADO'!A54</f>
        <v>5.2.8</v>
      </c>
      <c r="B168" s="626" t="str">
        <f>'ORÇAMENTO NÃO DESONERADO'!C54</f>
        <v>IMPERMEABILIZAÇÃO DE SUPERFÍCIE COM EMULSÃO ASFÁLTICA, 2 DEMÃOS AF_06/2018</v>
      </c>
      <c r="C168" s="626"/>
      <c r="D168" s="626"/>
      <c r="E168" s="626"/>
      <c r="F168" s="626"/>
      <c r="G168" s="626"/>
      <c r="H168" s="626"/>
      <c r="I168" s="626"/>
      <c r="J168" s="626"/>
      <c r="K168" s="627"/>
      <c r="L168" s="627"/>
      <c r="M168" s="628"/>
      <c r="N168" s="608"/>
      <c r="O168" s="142"/>
      <c r="P168" s="142"/>
    </row>
    <row r="169" spans="1:16" ht="15">
      <c r="A169" s="629"/>
      <c r="B169" s="629"/>
      <c r="C169" s="630"/>
      <c r="D169" s="630"/>
      <c r="E169" s="630"/>
      <c r="F169" s="627"/>
      <c r="G169" s="627"/>
      <c r="H169" s="627"/>
      <c r="I169" s="627"/>
      <c r="J169" s="627"/>
      <c r="K169" s="627"/>
      <c r="L169" s="627"/>
      <c r="M169" s="628"/>
      <c r="N169" s="608"/>
      <c r="O169" s="142"/>
      <c r="P169" s="142"/>
    </row>
    <row r="170" spans="1:16" ht="12.75">
      <c r="A170" s="385"/>
      <c r="B170" s="605" t="s">
        <v>189</v>
      </c>
      <c r="C170" s="605"/>
      <c r="D170" s="605"/>
      <c r="E170" s="605"/>
      <c r="F170" s="605"/>
      <c r="G170" s="605"/>
      <c r="H170" s="605"/>
      <c r="I170" s="605"/>
      <c r="J170" s="605"/>
      <c r="K170" s="605"/>
      <c r="L170" s="605"/>
      <c r="M170" s="605"/>
      <c r="N170" s="157"/>
      <c r="O170" s="142"/>
      <c r="P170" s="142"/>
    </row>
    <row r="171" spans="1:16" ht="15">
      <c r="A171" s="288"/>
      <c r="B171" s="603" t="s">
        <v>143</v>
      </c>
      <c r="C171" s="603"/>
      <c r="D171" s="603" t="s">
        <v>190</v>
      </c>
      <c r="E171" s="603"/>
      <c r="F171" s="603" t="s">
        <v>459</v>
      </c>
      <c r="G171" s="603"/>
      <c r="H171" s="603" t="s">
        <v>460</v>
      </c>
      <c r="I171" s="603"/>
      <c r="J171" s="603" t="s">
        <v>191</v>
      </c>
      <c r="K171" s="605"/>
      <c r="L171" s="617" t="s">
        <v>159</v>
      </c>
      <c r="M171" s="605"/>
      <c r="N171" s="605"/>
      <c r="O171" s="142"/>
      <c r="P171" s="142"/>
    </row>
    <row r="172" spans="1:16" ht="12.75">
      <c r="A172" s="631" t="s">
        <v>457</v>
      </c>
      <c r="B172" s="603">
        <v>0.9</v>
      </c>
      <c r="C172" s="603" t="s">
        <v>93</v>
      </c>
      <c r="D172" s="603">
        <v>0.7</v>
      </c>
      <c r="E172" s="619" t="s">
        <v>458</v>
      </c>
      <c r="F172" s="604">
        <v>2</v>
      </c>
      <c r="G172" s="603" t="s">
        <v>28</v>
      </c>
      <c r="H172" s="603">
        <v>0.3</v>
      </c>
      <c r="I172" s="603" t="s">
        <v>28</v>
      </c>
      <c r="J172" s="604">
        <v>2</v>
      </c>
      <c r="K172" s="605" t="s">
        <v>29</v>
      </c>
      <c r="L172" s="618">
        <f>ROUND(((B172+D172)*F172*H172*J172),2)</f>
        <v>1.92</v>
      </c>
      <c r="M172" s="619" t="s">
        <v>444</v>
      </c>
      <c r="N172" s="157"/>
      <c r="O172" s="142"/>
      <c r="P172" s="142"/>
    </row>
    <row r="173" spans="1:16" ht="12.75">
      <c r="A173" s="631" t="s">
        <v>457</v>
      </c>
      <c r="B173" s="603">
        <v>0.9</v>
      </c>
      <c r="C173" s="603" t="s">
        <v>93</v>
      </c>
      <c r="D173" s="603">
        <v>0.7</v>
      </c>
      <c r="E173" s="619" t="s">
        <v>458</v>
      </c>
      <c r="F173" s="604">
        <v>2</v>
      </c>
      <c r="G173" s="603" t="s">
        <v>28</v>
      </c>
      <c r="H173" s="603">
        <v>0.3</v>
      </c>
      <c r="I173" s="603" t="s">
        <v>28</v>
      </c>
      <c r="J173" s="604">
        <v>4</v>
      </c>
      <c r="K173" s="605" t="s">
        <v>29</v>
      </c>
      <c r="L173" s="618">
        <f aca="true" t="shared" si="12" ref="L173:L177">ROUND(((B173+D173)*F173*H173*J173),2)</f>
        <v>3.84</v>
      </c>
      <c r="M173" s="619" t="s">
        <v>445</v>
      </c>
      <c r="N173" s="157"/>
      <c r="O173" s="142"/>
      <c r="P173" s="142"/>
    </row>
    <row r="174" spans="1:16" ht="12.75">
      <c r="A174" s="631" t="s">
        <v>457</v>
      </c>
      <c r="B174" s="603">
        <v>0.9</v>
      </c>
      <c r="C174" s="603" t="s">
        <v>93</v>
      </c>
      <c r="D174" s="603">
        <v>0.7</v>
      </c>
      <c r="E174" s="619" t="s">
        <v>458</v>
      </c>
      <c r="F174" s="604">
        <v>2</v>
      </c>
      <c r="G174" s="603" t="s">
        <v>28</v>
      </c>
      <c r="H174" s="603">
        <v>0.3</v>
      </c>
      <c r="I174" s="603" t="s">
        <v>28</v>
      </c>
      <c r="J174" s="604">
        <v>4</v>
      </c>
      <c r="K174" s="605" t="s">
        <v>29</v>
      </c>
      <c r="L174" s="618">
        <f t="shared" si="12"/>
        <v>3.84</v>
      </c>
      <c r="M174" s="619" t="s">
        <v>446</v>
      </c>
      <c r="N174" s="157"/>
      <c r="O174" s="142"/>
      <c r="P174" s="142"/>
    </row>
    <row r="175" spans="1:16" ht="12.75">
      <c r="A175" s="631" t="s">
        <v>457</v>
      </c>
      <c r="B175" s="603">
        <v>0.9</v>
      </c>
      <c r="C175" s="603" t="s">
        <v>93</v>
      </c>
      <c r="D175" s="603">
        <v>0.7</v>
      </c>
      <c r="E175" s="619" t="s">
        <v>458</v>
      </c>
      <c r="F175" s="604">
        <v>2</v>
      </c>
      <c r="G175" s="603" t="s">
        <v>28</v>
      </c>
      <c r="H175" s="603">
        <v>0.3</v>
      </c>
      <c r="I175" s="603" t="s">
        <v>28</v>
      </c>
      <c r="J175" s="604">
        <v>4</v>
      </c>
      <c r="K175" s="605" t="s">
        <v>29</v>
      </c>
      <c r="L175" s="618">
        <f t="shared" si="12"/>
        <v>3.84</v>
      </c>
      <c r="M175" s="619" t="s">
        <v>447</v>
      </c>
      <c r="N175" s="157"/>
      <c r="O175" s="142"/>
      <c r="P175" s="142"/>
    </row>
    <row r="176" spans="1:16" ht="12.75">
      <c r="A176" s="631" t="s">
        <v>457</v>
      </c>
      <c r="B176" s="603">
        <v>0.9</v>
      </c>
      <c r="C176" s="603" t="s">
        <v>93</v>
      </c>
      <c r="D176" s="603">
        <v>0.7</v>
      </c>
      <c r="E176" s="619" t="s">
        <v>458</v>
      </c>
      <c r="F176" s="604">
        <v>2</v>
      </c>
      <c r="G176" s="603" t="s">
        <v>28</v>
      </c>
      <c r="H176" s="603">
        <v>0.3</v>
      </c>
      <c r="I176" s="603" t="s">
        <v>28</v>
      </c>
      <c r="J176" s="604">
        <v>3</v>
      </c>
      <c r="K176" s="605" t="s">
        <v>29</v>
      </c>
      <c r="L176" s="618">
        <f t="shared" si="12"/>
        <v>2.88</v>
      </c>
      <c r="M176" s="619" t="s">
        <v>448</v>
      </c>
      <c r="N176" s="157"/>
      <c r="O176" s="142"/>
      <c r="P176" s="142"/>
    </row>
    <row r="177" spans="1:16" ht="12.75">
      <c r="A177" s="631" t="s">
        <v>457</v>
      </c>
      <c r="B177" s="603">
        <v>0.9</v>
      </c>
      <c r="C177" s="603" t="s">
        <v>93</v>
      </c>
      <c r="D177" s="603">
        <v>0.7</v>
      </c>
      <c r="E177" s="619" t="s">
        <v>458</v>
      </c>
      <c r="F177" s="604">
        <v>2</v>
      </c>
      <c r="G177" s="603" t="s">
        <v>28</v>
      </c>
      <c r="H177" s="603">
        <v>0.3</v>
      </c>
      <c r="I177" s="603" t="s">
        <v>28</v>
      </c>
      <c r="J177" s="604">
        <v>2</v>
      </c>
      <c r="K177" s="605" t="s">
        <v>29</v>
      </c>
      <c r="L177" s="618">
        <f t="shared" si="12"/>
        <v>1.92</v>
      </c>
      <c r="M177" s="619" t="s">
        <v>449</v>
      </c>
      <c r="N177" s="157"/>
      <c r="O177" s="142"/>
      <c r="P177" s="142"/>
    </row>
    <row r="178" spans="1:16" ht="15">
      <c r="A178" s="288"/>
      <c r="B178" s="603"/>
      <c r="C178" s="603"/>
      <c r="D178" s="603"/>
      <c r="E178" s="603"/>
      <c r="F178" s="603"/>
      <c r="G178" s="603"/>
      <c r="H178" s="604"/>
      <c r="I178" s="605"/>
      <c r="J178" s="605"/>
      <c r="K178" s="603"/>
      <c r="L178" s="618"/>
      <c r="M178" s="157"/>
      <c r="N178" s="157"/>
      <c r="O178" s="142"/>
      <c r="P178" s="142"/>
    </row>
    <row r="179" spans="1:16" ht="12.75">
      <c r="A179" s="631" t="s">
        <v>469</v>
      </c>
      <c r="B179" s="603">
        <v>0.9</v>
      </c>
      <c r="C179" s="603" t="s">
        <v>28</v>
      </c>
      <c r="D179" s="603">
        <v>0.7</v>
      </c>
      <c r="E179" s="619" t="s">
        <v>458</v>
      </c>
      <c r="F179" s="604">
        <v>1</v>
      </c>
      <c r="G179" s="603"/>
      <c r="H179" s="603"/>
      <c r="I179" s="603" t="s">
        <v>28</v>
      </c>
      <c r="J179" s="604">
        <v>2</v>
      </c>
      <c r="K179" s="605" t="s">
        <v>29</v>
      </c>
      <c r="L179" s="618">
        <f>ROUND(((B179+D179)*F179*J179),2)</f>
        <v>3.2</v>
      </c>
      <c r="M179" s="619" t="s">
        <v>444</v>
      </c>
      <c r="N179" s="157"/>
      <c r="O179" s="142"/>
      <c r="P179" s="142"/>
    </row>
    <row r="180" spans="1:16" ht="12.75">
      <c r="A180" s="631" t="s">
        <v>469</v>
      </c>
      <c r="B180" s="603">
        <v>0.9</v>
      </c>
      <c r="C180" s="603" t="s">
        <v>28</v>
      </c>
      <c r="D180" s="603">
        <v>0.7</v>
      </c>
      <c r="E180" s="619" t="s">
        <v>458</v>
      </c>
      <c r="F180" s="604">
        <v>1</v>
      </c>
      <c r="G180" s="603"/>
      <c r="H180" s="603"/>
      <c r="I180" s="603" t="s">
        <v>28</v>
      </c>
      <c r="J180" s="604">
        <v>4</v>
      </c>
      <c r="K180" s="605" t="s">
        <v>29</v>
      </c>
      <c r="L180" s="618">
        <f aca="true" t="shared" si="13" ref="L180:L184">ROUND(((B180+D180)*F180*J180),2)</f>
        <v>6.4</v>
      </c>
      <c r="M180" s="619" t="s">
        <v>445</v>
      </c>
      <c r="N180" s="157"/>
      <c r="O180" s="142"/>
      <c r="P180" s="142"/>
    </row>
    <row r="181" spans="1:16" ht="12.75">
      <c r="A181" s="631" t="s">
        <v>469</v>
      </c>
      <c r="B181" s="603">
        <v>0.9</v>
      </c>
      <c r="C181" s="603" t="s">
        <v>28</v>
      </c>
      <c r="D181" s="603">
        <v>0.7</v>
      </c>
      <c r="E181" s="619" t="s">
        <v>458</v>
      </c>
      <c r="F181" s="604">
        <v>1</v>
      </c>
      <c r="G181" s="603"/>
      <c r="H181" s="603"/>
      <c r="I181" s="603" t="s">
        <v>28</v>
      </c>
      <c r="J181" s="604">
        <v>4</v>
      </c>
      <c r="K181" s="605" t="s">
        <v>29</v>
      </c>
      <c r="L181" s="618">
        <f t="shared" si="13"/>
        <v>6.4</v>
      </c>
      <c r="M181" s="619" t="s">
        <v>446</v>
      </c>
      <c r="N181" s="157"/>
      <c r="O181" s="142"/>
      <c r="P181" s="142"/>
    </row>
    <row r="182" spans="1:16" ht="12.75">
      <c r="A182" s="631" t="s">
        <v>469</v>
      </c>
      <c r="B182" s="603">
        <v>0.9</v>
      </c>
      <c r="C182" s="603" t="s">
        <v>28</v>
      </c>
      <c r="D182" s="603">
        <v>0.7</v>
      </c>
      <c r="E182" s="619" t="s">
        <v>458</v>
      </c>
      <c r="F182" s="604">
        <v>1</v>
      </c>
      <c r="G182" s="603"/>
      <c r="H182" s="603"/>
      <c r="I182" s="603" t="s">
        <v>28</v>
      </c>
      <c r="J182" s="604">
        <v>4</v>
      </c>
      <c r="K182" s="605" t="s">
        <v>29</v>
      </c>
      <c r="L182" s="618">
        <f t="shared" si="13"/>
        <v>6.4</v>
      </c>
      <c r="M182" s="619" t="s">
        <v>447</v>
      </c>
      <c r="N182" s="157"/>
      <c r="O182" s="142"/>
      <c r="P182" s="142"/>
    </row>
    <row r="183" spans="1:16" ht="12.75">
      <c r="A183" s="631" t="s">
        <v>469</v>
      </c>
      <c r="B183" s="603">
        <v>0.9</v>
      </c>
      <c r="C183" s="603" t="s">
        <v>28</v>
      </c>
      <c r="D183" s="603">
        <v>0.7</v>
      </c>
      <c r="E183" s="619" t="s">
        <v>458</v>
      </c>
      <c r="F183" s="604">
        <v>1</v>
      </c>
      <c r="G183" s="603"/>
      <c r="H183" s="603"/>
      <c r="I183" s="603" t="s">
        <v>28</v>
      </c>
      <c r="J183" s="604">
        <v>3</v>
      </c>
      <c r="K183" s="605" t="s">
        <v>29</v>
      </c>
      <c r="L183" s="618">
        <f t="shared" si="13"/>
        <v>4.8</v>
      </c>
      <c r="M183" s="619" t="s">
        <v>448</v>
      </c>
      <c r="N183" s="157"/>
      <c r="O183" s="142"/>
      <c r="P183" s="142"/>
    </row>
    <row r="184" spans="1:16" ht="12.75">
      <c r="A184" s="631" t="s">
        <v>469</v>
      </c>
      <c r="B184" s="603">
        <v>0.9</v>
      </c>
      <c r="C184" s="603" t="s">
        <v>28</v>
      </c>
      <c r="D184" s="603">
        <v>0.7</v>
      </c>
      <c r="E184" s="619" t="s">
        <v>458</v>
      </c>
      <c r="F184" s="604">
        <v>1</v>
      </c>
      <c r="G184" s="603"/>
      <c r="H184" s="603"/>
      <c r="I184" s="603" t="s">
        <v>28</v>
      </c>
      <c r="J184" s="604">
        <v>2</v>
      </c>
      <c r="K184" s="605" t="s">
        <v>29</v>
      </c>
      <c r="L184" s="618">
        <f t="shared" si="13"/>
        <v>3.2</v>
      </c>
      <c r="M184" s="619" t="s">
        <v>449</v>
      </c>
      <c r="N184" s="157"/>
      <c r="O184" s="142"/>
      <c r="P184" s="142"/>
    </row>
    <row r="185" spans="1:16" ht="15">
      <c r="A185" s="288"/>
      <c r="B185" s="603"/>
      <c r="C185" s="603"/>
      <c r="D185" s="603"/>
      <c r="E185" s="603"/>
      <c r="F185" s="603"/>
      <c r="G185" s="603"/>
      <c r="H185" s="604"/>
      <c r="I185" s="605"/>
      <c r="J185" s="605"/>
      <c r="K185" s="603"/>
      <c r="L185" s="618"/>
      <c r="M185" s="157"/>
      <c r="N185" s="157"/>
      <c r="O185" s="142"/>
      <c r="P185" s="142"/>
    </row>
    <row r="186" spans="1:16" ht="12.75">
      <c r="A186" s="385"/>
      <c r="B186" s="605" t="s">
        <v>142</v>
      </c>
      <c r="C186" s="605"/>
      <c r="D186" s="605"/>
      <c r="E186" s="605"/>
      <c r="F186" s="605"/>
      <c r="G186" s="605"/>
      <c r="H186" s="605"/>
      <c r="I186" s="605"/>
      <c r="J186" s="605"/>
      <c r="K186" s="605"/>
      <c r="L186" s="605"/>
      <c r="M186" s="157"/>
      <c r="N186" s="157"/>
      <c r="O186" s="142"/>
      <c r="P186" s="142"/>
    </row>
    <row r="187" spans="1:16" ht="15">
      <c r="A187" s="288"/>
      <c r="B187" s="603" t="s">
        <v>143</v>
      </c>
      <c r="C187" s="603"/>
      <c r="D187" s="603" t="s">
        <v>190</v>
      </c>
      <c r="E187" s="603"/>
      <c r="F187" s="603" t="s">
        <v>459</v>
      </c>
      <c r="G187" s="603"/>
      <c r="H187" s="603" t="s">
        <v>464</v>
      </c>
      <c r="I187" s="603"/>
      <c r="J187" s="603" t="s">
        <v>191</v>
      </c>
      <c r="K187" s="605"/>
      <c r="L187" s="617" t="s">
        <v>159</v>
      </c>
      <c r="M187" s="605"/>
      <c r="N187" s="157"/>
      <c r="O187" s="142"/>
      <c r="P187" s="142"/>
    </row>
    <row r="188" spans="1:16" ht="12.75">
      <c r="A188" s="631" t="s">
        <v>457</v>
      </c>
      <c r="B188" s="603">
        <v>0.2</v>
      </c>
      <c r="C188" s="603" t="s">
        <v>93</v>
      </c>
      <c r="D188" s="603">
        <v>0.3</v>
      </c>
      <c r="E188" s="619" t="s">
        <v>458</v>
      </c>
      <c r="F188" s="604">
        <v>2</v>
      </c>
      <c r="G188" s="603" t="s">
        <v>28</v>
      </c>
      <c r="H188" s="603">
        <v>0.73</v>
      </c>
      <c r="I188" s="603" t="s">
        <v>28</v>
      </c>
      <c r="J188" s="604">
        <v>2</v>
      </c>
      <c r="K188" s="605" t="s">
        <v>29</v>
      </c>
      <c r="L188" s="618">
        <f>ROUND(((B188+D188)*F188*H188*J188),2)</f>
        <v>1.46</v>
      </c>
      <c r="M188" s="619" t="s">
        <v>444</v>
      </c>
      <c r="N188" s="157"/>
      <c r="O188" s="142"/>
      <c r="P188" s="142"/>
    </row>
    <row r="189" spans="1:16" ht="12.75">
      <c r="A189" s="631" t="s">
        <v>457</v>
      </c>
      <c r="B189" s="603">
        <v>0.2</v>
      </c>
      <c r="C189" s="603" t="s">
        <v>93</v>
      </c>
      <c r="D189" s="603">
        <v>0.3</v>
      </c>
      <c r="E189" s="619" t="s">
        <v>458</v>
      </c>
      <c r="F189" s="604">
        <v>2</v>
      </c>
      <c r="G189" s="603" t="s">
        <v>28</v>
      </c>
      <c r="H189" s="603">
        <v>0.73</v>
      </c>
      <c r="I189" s="603" t="s">
        <v>28</v>
      </c>
      <c r="J189" s="604">
        <v>4</v>
      </c>
      <c r="K189" s="605" t="s">
        <v>29</v>
      </c>
      <c r="L189" s="618">
        <f>ROUND(((B189+D189)*F189*H189*J189),2)</f>
        <v>2.92</v>
      </c>
      <c r="M189" s="619" t="s">
        <v>445</v>
      </c>
      <c r="N189" s="157"/>
      <c r="O189" s="142"/>
      <c r="P189" s="142"/>
    </row>
    <row r="190" spans="1:16" s="165" customFormat="1" ht="12.75">
      <c r="A190" s="631" t="s">
        <v>457</v>
      </c>
      <c r="B190" s="603">
        <v>0.2</v>
      </c>
      <c r="C190" s="603" t="s">
        <v>93</v>
      </c>
      <c r="D190" s="603">
        <v>0.3</v>
      </c>
      <c r="E190" s="619" t="s">
        <v>458</v>
      </c>
      <c r="F190" s="604">
        <v>2</v>
      </c>
      <c r="G190" s="603" t="s">
        <v>28</v>
      </c>
      <c r="H190" s="603">
        <v>0.73</v>
      </c>
      <c r="I190" s="603" t="s">
        <v>28</v>
      </c>
      <c r="J190" s="604">
        <v>4</v>
      </c>
      <c r="K190" s="605" t="s">
        <v>29</v>
      </c>
      <c r="L190" s="618">
        <f aca="true" t="shared" si="14" ref="L190:L192">ROUND(((B190+D190)*F190*H190*J190),2)</f>
        <v>2.92</v>
      </c>
      <c r="M190" s="619" t="s">
        <v>446</v>
      </c>
      <c r="N190" s="270"/>
      <c r="O190" s="142"/>
      <c r="P190" s="142"/>
    </row>
    <row r="191" spans="1:16" s="165" customFormat="1" ht="12.75">
      <c r="A191" s="631" t="s">
        <v>457</v>
      </c>
      <c r="B191" s="603">
        <v>0.15</v>
      </c>
      <c r="C191" s="603" t="s">
        <v>93</v>
      </c>
      <c r="D191" s="603">
        <v>0.3</v>
      </c>
      <c r="E191" s="619" t="s">
        <v>458</v>
      </c>
      <c r="F191" s="604">
        <v>2</v>
      </c>
      <c r="G191" s="603" t="s">
        <v>28</v>
      </c>
      <c r="H191" s="603">
        <v>0.73</v>
      </c>
      <c r="I191" s="603" t="s">
        <v>28</v>
      </c>
      <c r="J191" s="604">
        <v>4</v>
      </c>
      <c r="K191" s="605" t="s">
        <v>29</v>
      </c>
      <c r="L191" s="618">
        <f t="shared" si="14"/>
        <v>2.63</v>
      </c>
      <c r="M191" s="619" t="s">
        <v>447</v>
      </c>
      <c r="N191" s="270"/>
      <c r="O191" s="142"/>
      <c r="P191" s="142"/>
    </row>
    <row r="192" spans="1:16" s="165" customFormat="1" ht="12.75">
      <c r="A192" s="631" t="s">
        <v>457</v>
      </c>
      <c r="B192" s="603">
        <v>0.15</v>
      </c>
      <c r="C192" s="603" t="s">
        <v>93</v>
      </c>
      <c r="D192" s="603">
        <v>0.2</v>
      </c>
      <c r="E192" s="619" t="s">
        <v>458</v>
      </c>
      <c r="F192" s="604">
        <v>2</v>
      </c>
      <c r="G192" s="603" t="s">
        <v>28</v>
      </c>
      <c r="H192" s="603">
        <v>0.73</v>
      </c>
      <c r="I192" s="603" t="s">
        <v>28</v>
      </c>
      <c r="J192" s="604">
        <v>3</v>
      </c>
      <c r="K192" s="605" t="s">
        <v>29</v>
      </c>
      <c r="L192" s="618">
        <f t="shared" si="14"/>
        <v>1.53</v>
      </c>
      <c r="M192" s="619" t="s">
        <v>448</v>
      </c>
      <c r="N192" s="270"/>
      <c r="O192" s="142"/>
      <c r="P192" s="142"/>
    </row>
    <row r="193" spans="1:16" s="165" customFormat="1" ht="12.75">
      <c r="A193" s="385"/>
      <c r="B193" s="603" t="s">
        <v>462</v>
      </c>
      <c r="C193" s="603"/>
      <c r="D193" s="603">
        <v>0.942</v>
      </c>
      <c r="E193" s="619" t="s">
        <v>463</v>
      </c>
      <c r="F193" s="604">
        <v>1</v>
      </c>
      <c r="G193" s="603" t="s">
        <v>28</v>
      </c>
      <c r="H193" s="603">
        <v>0.73</v>
      </c>
      <c r="I193" s="603" t="s">
        <v>28</v>
      </c>
      <c r="J193" s="604">
        <v>2</v>
      </c>
      <c r="K193" s="605" t="s">
        <v>29</v>
      </c>
      <c r="L193" s="618">
        <f>ROUND(((D193)*F193*H193*J193),2)</f>
        <v>1.38</v>
      </c>
      <c r="M193" s="619" t="s">
        <v>449</v>
      </c>
      <c r="N193" s="270"/>
      <c r="O193" s="142"/>
      <c r="P193" s="142"/>
    </row>
    <row r="194" spans="1:16" s="165" customFormat="1" ht="15">
      <c r="A194" s="288"/>
      <c r="B194" s="603"/>
      <c r="C194" s="603"/>
      <c r="D194" s="603"/>
      <c r="E194" s="603"/>
      <c r="F194" s="603"/>
      <c r="G194" s="603"/>
      <c r="H194" s="604"/>
      <c r="I194" s="605"/>
      <c r="J194" s="605"/>
      <c r="K194" s="603"/>
      <c r="L194" s="618"/>
      <c r="M194" s="605"/>
      <c r="N194" s="157"/>
      <c r="O194" s="142"/>
      <c r="P194" s="142"/>
    </row>
    <row r="195" spans="1:16" s="165" customFormat="1" ht="12.75">
      <c r="A195" s="385"/>
      <c r="B195" s="620" t="s">
        <v>32</v>
      </c>
      <c r="C195" s="621">
        <f>SUM(L172:L177)+SUM(L179:L185)+SUM(L188:L194)</f>
        <v>61.480000000000004</v>
      </c>
      <c r="D195" s="622" t="s">
        <v>2</v>
      </c>
      <c r="E195" s="605"/>
      <c r="F195" s="605"/>
      <c r="G195" s="605"/>
      <c r="H195" s="605"/>
      <c r="I195" s="605"/>
      <c r="J195" s="605"/>
      <c r="K195" s="605"/>
      <c r="L195" s="605"/>
      <c r="M195" s="605"/>
      <c r="N195" s="157"/>
      <c r="O195" s="142"/>
      <c r="P195" s="142"/>
    </row>
    <row r="196" spans="1:16" s="165" customFormat="1" ht="15">
      <c r="A196" s="288"/>
      <c r="B196" s="605"/>
      <c r="C196" s="605"/>
      <c r="D196" s="605"/>
      <c r="E196" s="605"/>
      <c r="F196" s="605"/>
      <c r="G196" s="605"/>
      <c r="H196" s="605"/>
      <c r="I196" s="605"/>
      <c r="J196" s="605"/>
      <c r="K196" s="605"/>
      <c r="L196" s="605"/>
      <c r="M196" s="605"/>
      <c r="N196" s="157"/>
      <c r="O196" s="142"/>
      <c r="P196" s="142"/>
    </row>
    <row r="197" spans="1:16" s="165" customFormat="1" ht="15">
      <c r="A197" s="288"/>
      <c r="B197" s="623" t="s">
        <v>145</v>
      </c>
      <c r="C197" s="623"/>
      <c r="D197" s="605"/>
      <c r="E197" s="605"/>
      <c r="F197" s="605"/>
      <c r="G197" s="605"/>
      <c r="H197" s="605"/>
      <c r="I197" s="605"/>
      <c r="J197" s="605"/>
      <c r="K197" s="605"/>
      <c r="L197" s="605"/>
      <c r="M197" s="605"/>
      <c r="N197" s="157"/>
      <c r="O197" s="142"/>
      <c r="P197" s="142"/>
    </row>
    <row r="198" spans="1:16" s="165" customFormat="1" ht="15">
      <c r="A198" s="288"/>
      <c r="B198" s="603" t="s">
        <v>143</v>
      </c>
      <c r="C198" s="603"/>
      <c r="D198" s="603" t="s">
        <v>465</v>
      </c>
      <c r="E198" s="603"/>
      <c r="F198" s="603" t="s">
        <v>459</v>
      </c>
      <c r="G198" s="605"/>
      <c r="H198" s="603" t="s">
        <v>193</v>
      </c>
      <c r="I198" s="605"/>
      <c r="J198" s="605" t="s">
        <v>159</v>
      </c>
      <c r="K198" s="605"/>
      <c r="L198" s="605"/>
      <c r="M198" s="605"/>
      <c r="N198" s="157"/>
      <c r="O198" s="142"/>
      <c r="P198" s="142"/>
    </row>
    <row r="199" spans="1:16" s="165" customFormat="1" ht="15">
      <c r="A199" s="288"/>
      <c r="B199" s="603">
        <f>14.02</f>
        <v>14.02</v>
      </c>
      <c r="C199" s="603" t="s">
        <v>28</v>
      </c>
      <c r="D199" s="603">
        <f>0.4</f>
        <v>0.4</v>
      </c>
      <c r="E199" s="603" t="s">
        <v>28</v>
      </c>
      <c r="F199" s="604">
        <v>2</v>
      </c>
      <c r="G199" s="603" t="s">
        <v>28</v>
      </c>
      <c r="H199" s="604">
        <v>2</v>
      </c>
      <c r="I199" s="596" t="s">
        <v>29</v>
      </c>
      <c r="J199" s="603">
        <f aca="true" t="shared" si="15" ref="J199:J203">ROUND((B199*D199*F199*H199),2)</f>
        <v>22.43</v>
      </c>
      <c r="K199" s="619" t="s">
        <v>451</v>
      </c>
      <c r="L199" s="605"/>
      <c r="M199" s="605"/>
      <c r="N199" s="157"/>
      <c r="O199" s="142"/>
      <c r="P199" s="142"/>
    </row>
    <row r="200" spans="1:16" s="165" customFormat="1" ht="15">
      <c r="A200" s="288"/>
      <c r="B200" s="603">
        <v>9.67</v>
      </c>
      <c r="C200" s="603" t="s">
        <v>28</v>
      </c>
      <c r="D200" s="603">
        <f>0.4</f>
        <v>0.4</v>
      </c>
      <c r="E200" s="603" t="s">
        <v>28</v>
      </c>
      <c r="F200" s="604">
        <v>2</v>
      </c>
      <c r="G200" s="603" t="s">
        <v>28</v>
      </c>
      <c r="H200" s="604">
        <v>2</v>
      </c>
      <c r="I200" s="605" t="s">
        <v>29</v>
      </c>
      <c r="J200" s="603">
        <f t="shared" si="15"/>
        <v>15.47</v>
      </c>
      <c r="K200" s="619" t="s">
        <v>452</v>
      </c>
      <c r="L200" s="605"/>
      <c r="M200" s="605"/>
      <c r="N200" s="157"/>
      <c r="O200" s="142"/>
      <c r="P200" s="142"/>
    </row>
    <row r="201" spans="1:16" s="165" customFormat="1" ht="15">
      <c r="A201" s="288"/>
      <c r="B201" s="603">
        <v>2.65</v>
      </c>
      <c r="C201" s="603" t="s">
        <v>28</v>
      </c>
      <c r="D201" s="603">
        <f>0.3</f>
        <v>0.3</v>
      </c>
      <c r="E201" s="603" t="s">
        <v>28</v>
      </c>
      <c r="F201" s="604">
        <v>2</v>
      </c>
      <c r="G201" s="603" t="s">
        <v>28</v>
      </c>
      <c r="H201" s="604">
        <v>2</v>
      </c>
      <c r="I201" s="605" t="s">
        <v>29</v>
      </c>
      <c r="J201" s="603">
        <f t="shared" si="15"/>
        <v>3.18</v>
      </c>
      <c r="K201" s="619" t="s">
        <v>453</v>
      </c>
      <c r="L201" s="605"/>
      <c r="M201" s="605"/>
      <c r="N201" s="157"/>
      <c r="O201" s="142"/>
      <c r="P201" s="142"/>
    </row>
    <row r="202" spans="1:16" s="165" customFormat="1" ht="15">
      <c r="A202" s="288"/>
      <c r="B202" s="603">
        <f>1.63+3.28</f>
        <v>4.91</v>
      </c>
      <c r="C202" s="603" t="s">
        <v>28</v>
      </c>
      <c r="D202" s="603">
        <f>0.3</f>
        <v>0.3</v>
      </c>
      <c r="E202" s="603" t="s">
        <v>28</v>
      </c>
      <c r="F202" s="604">
        <v>2</v>
      </c>
      <c r="G202" s="603" t="s">
        <v>28</v>
      </c>
      <c r="H202" s="604">
        <v>1</v>
      </c>
      <c r="I202" s="605" t="s">
        <v>29</v>
      </c>
      <c r="J202" s="603">
        <f t="shared" si="15"/>
        <v>2.95</v>
      </c>
      <c r="K202" s="619" t="s">
        <v>454</v>
      </c>
      <c r="L202" s="605"/>
      <c r="M202" s="605"/>
      <c r="N202" s="157"/>
      <c r="O202" s="142"/>
      <c r="P202" s="142"/>
    </row>
    <row r="203" spans="1:16" s="165" customFormat="1" ht="15">
      <c r="A203" s="288"/>
      <c r="B203" s="603">
        <v>2.22</v>
      </c>
      <c r="C203" s="603" t="s">
        <v>28</v>
      </c>
      <c r="D203" s="603">
        <f>0.4</f>
        <v>0.4</v>
      </c>
      <c r="E203" s="603" t="s">
        <v>28</v>
      </c>
      <c r="F203" s="604">
        <v>2</v>
      </c>
      <c r="G203" s="603" t="s">
        <v>28</v>
      </c>
      <c r="H203" s="604">
        <v>1</v>
      </c>
      <c r="I203" s="605" t="s">
        <v>29</v>
      </c>
      <c r="J203" s="603">
        <f t="shared" si="15"/>
        <v>1.78</v>
      </c>
      <c r="K203" s="619" t="s">
        <v>455</v>
      </c>
      <c r="L203" s="605"/>
      <c r="M203" s="605"/>
      <c r="N203" s="157"/>
      <c r="O203" s="142"/>
      <c r="P203" s="142"/>
    </row>
    <row r="204" spans="1:16" s="165" customFormat="1" ht="15">
      <c r="A204" s="288"/>
      <c r="B204" s="603"/>
      <c r="C204" s="603"/>
      <c r="D204" s="603"/>
      <c r="E204" s="603"/>
      <c r="F204" s="604"/>
      <c r="G204" s="603"/>
      <c r="H204" s="604"/>
      <c r="I204" s="605"/>
      <c r="J204" s="603"/>
      <c r="K204" s="619"/>
      <c r="L204" s="605"/>
      <c r="M204" s="605"/>
      <c r="N204" s="157"/>
      <c r="O204" s="142"/>
      <c r="P204" s="142"/>
    </row>
    <row r="205" spans="1:16" s="165" customFormat="1" ht="15">
      <c r="A205" s="288"/>
      <c r="B205" s="603">
        <f>B130*H130+B131*H131+B134*H134</f>
        <v>49.599999999999994</v>
      </c>
      <c r="C205" s="603" t="s">
        <v>28</v>
      </c>
      <c r="D205" s="603">
        <v>0.2</v>
      </c>
      <c r="E205" s="603" t="s">
        <v>29</v>
      </c>
      <c r="F205" s="632">
        <f>ROUND(B205*D205,2)</f>
        <v>9.92</v>
      </c>
      <c r="G205" s="603" t="s">
        <v>2</v>
      </c>
      <c r="H205" s="604"/>
      <c r="I205" s="605"/>
      <c r="J205" s="603"/>
      <c r="K205" s="619"/>
      <c r="L205" s="605"/>
      <c r="M205" s="605"/>
      <c r="N205" s="157"/>
      <c r="O205" s="142"/>
      <c r="P205" s="142"/>
    </row>
    <row r="206" spans="1:16" s="165" customFormat="1" ht="15">
      <c r="A206" s="288"/>
      <c r="B206" s="603">
        <f>B132*H132+B133*H133</f>
        <v>10.21</v>
      </c>
      <c r="C206" s="603" t="s">
        <v>28</v>
      </c>
      <c r="D206" s="603">
        <v>0.15</v>
      </c>
      <c r="E206" s="603" t="s">
        <v>29</v>
      </c>
      <c r="F206" s="632">
        <f>ROUND(B206*D206,2)</f>
        <v>1.53</v>
      </c>
      <c r="G206" s="603" t="s">
        <v>2</v>
      </c>
      <c r="H206" s="604"/>
      <c r="I206" s="605"/>
      <c r="J206" s="603"/>
      <c r="K206" s="619"/>
      <c r="L206" s="605"/>
      <c r="M206" s="605"/>
      <c r="N206" s="157"/>
      <c r="O206" s="142"/>
      <c r="P206" s="142"/>
    </row>
    <row r="207" spans="1:16" s="165" customFormat="1" ht="12.75">
      <c r="A207" s="385"/>
      <c r="B207" s="603"/>
      <c r="C207" s="603"/>
      <c r="D207" s="603"/>
      <c r="E207" s="603"/>
      <c r="F207" s="603"/>
      <c r="G207" s="603"/>
      <c r="H207" s="604"/>
      <c r="I207" s="605"/>
      <c r="J207" s="603"/>
      <c r="K207" s="619"/>
      <c r="L207" s="605"/>
      <c r="M207" s="605"/>
      <c r="N207" s="157"/>
      <c r="O207" s="142"/>
      <c r="P207" s="142"/>
    </row>
    <row r="208" spans="1:16" s="165" customFormat="1" ht="15">
      <c r="A208" s="288"/>
      <c r="B208" s="620" t="s">
        <v>32</v>
      </c>
      <c r="C208" s="621">
        <f>SUM(J199:J207)+F205+F206</f>
        <v>57.260000000000005</v>
      </c>
      <c r="D208" s="622" t="s">
        <v>2</v>
      </c>
      <c r="E208" s="603"/>
      <c r="F208" s="603"/>
      <c r="G208" s="603"/>
      <c r="H208" s="604"/>
      <c r="I208" s="605"/>
      <c r="J208" s="603"/>
      <c r="K208" s="619"/>
      <c r="L208" s="605"/>
      <c r="M208" s="605"/>
      <c r="N208" s="157"/>
      <c r="O208" s="142"/>
      <c r="P208" s="142"/>
    </row>
    <row r="209" spans="1:16" s="165" customFormat="1" ht="15">
      <c r="A209" s="288"/>
      <c r="B209" s="633"/>
      <c r="C209" s="392"/>
      <c r="D209" s="392"/>
      <c r="E209" s="392"/>
      <c r="F209" s="392"/>
      <c r="G209" s="392"/>
      <c r="H209" s="392"/>
      <c r="I209" s="392"/>
      <c r="J209" s="392"/>
      <c r="K209" s="392"/>
      <c r="L209" s="392"/>
      <c r="M209" s="634"/>
      <c r="N209" s="157"/>
      <c r="O209" s="142"/>
      <c r="P209" s="142"/>
    </row>
    <row r="210" spans="1:16" s="165" customFormat="1" ht="15">
      <c r="A210" s="288"/>
      <c r="B210" s="633"/>
      <c r="C210" s="392"/>
      <c r="D210" s="392"/>
      <c r="E210" s="392"/>
      <c r="F210" s="392"/>
      <c r="G210" s="392"/>
      <c r="H210" s="392"/>
      <c r="I210" s="392"/>
      <c r="J210" s="392"/>
      <c r="K210" s="392"/>
      <c r="L210" s="392"/>
      <c r="M210" s="634"/>
      <c r="N210" s="608"/>
      <c r="O210" s="142"/>
      <c r="P210" s="142"/>
    </row>
    <row r="211" spans="1:16" s="165" customFormat="1" ht="15">
      <c r="A211" s="288"/>
      <c r="B211" s="643" t="s">
        <v>141</v>
      </c>
      <c r="C211" s="644">
        <f>C195+C208</f>
        <v>118.74000000000001</v>
      </c>
      <c r="D211" s="645" t="s">
        <v>2</v>
      </c>
      <c r="E211" s="603"/>
      <c r="F211" s="392"/>
      <c r="G211" s="392"/>
      <c r="H211" s="392"/>
      <c r="I211" s="392"/>
      <c r="J211" s="392"/>
      <c r="K211" s="392"/>
      <c r="L211" s="392"/>
      <c r="M211" s="634"/>
      <c r="N211" s="608"/>
      <c r="O211" s="142">
        <v>73.86</v>
      </c>
      <c r="P211" s="142"/>
    </row>
    <row r="212" spans="1:16" s="165" customFormat="1" ht="15">
      <c r="A212" s="288"/>
      <c r="B212" s="385"/>
      <c r="C212" s="315"/>
      <c r="D212" s="315"/>
      <c r="E212" s="315"/>
      <c r="F212" s="315"/>
      <c r="G212" s="391"/>
      <c r="H212" s="391"/>
      <c r="I212" s="391"/>
      <c r="J212" s="386"/>
      <c r="K212" s="386"/>
      <c r="L212" s="386"/>
      <c r="M212" s="282"/>
      <c r="N212" s="601"/>
      <c r="O212" s="138"/>
      <c r="P212" s="138"/>
    </row>
    <row r="213" spans="1:16" s="270" customFormat="1" ht="15">
      <c r="A213" s="150" t="str">
        <f>'ORÇAMENTO NÃO DESONERADO'!A56</f>
        <v>5.3</v>
      </c>
      <c r="B213" s="286" t="str">
        <f>'ORÇAMENTO NÃO DESONERADO'!C56</f>
        <v>SUPERESTRUTURA</v>
      </c>
      <c r="C213" s="141"/>
      <c r="D213" s="141"/>
      <c r="E213" s="141"/>
      <c r="F213" s="141"/>
      <c r="G213" s="141"/>
      <c r="H213" s="141"/>
      <c r="I213" s="141"/>
      <c r="J213" s="141"/>
      <c r="K213" s="314"/>
      <c r="L213" s="314"/>
      <c r="M213" s="642"/>
      <c r="N213" s="608"/>
      <c r="O213" s="601"/>
      <c r="P213" s="141"/>
    </row>
    <row r="214" spans="1:16" ht="15">
      <c r="A214" s="150" t="str">
        <f>'ORÇAMENTO NÃO DESONERADO'!A57</f>
        <v>5.3.1</v>
      </c>
      <c r="B214" s="286" t="str">
        <f>'ORÇAMENTO NÃO DESONERADO'!C57</f>
        <v>PILAR</v>
      </c>
      <c r="C214" s="141"/>
      <c r="D214" s="141"/>
      <c r="E214" s="141"/>
      <c r="F214" s="141"/>
      <c r="G214" s="141"/>
      <c r="H214" s="141"/>
      <c r="I214" s="141"/>
      <c r="J214" s="141"/>
      <c r="K214" s="314"/>
      <c r="L214" s="314"/>
      <c r="M214" s="642"/>
      <c r="N214" s="608"/>
      <c r="O214" s="138"/>
      <c r="P214" s="136"/>
    </row>
    <row r="215" spans="1:16" ht="30.75" customHeight="1">
      <c r="A215" s="150" t="str">
        <f>'ORÇAMENTO NÃO DESONERADO'!A58</f>
        <v>5.3.1.1</v>
      </c>
      <c r="B215" s="1101" t="str">
        <f>'ORÇAMENTO NÃO DESONERADO'!C58</f>
        <v>MONTAGEM E DESMONTAGEM DE FÔRMA DE PILARES RETANGULARES E ESTRUTURAS SIMILARES COM ÁREA MÉDIA DAS SEÇÕES MENOR OU IGUAL A 0,25 M², PÉ-DIREITO DUPLO, EM CHAPA DE MADEIRA COMPENSADA PLASTIFICADA, 18 UTILIZAÇÕES. AF_12/2015</v>
      </c>
      <c r="C215" s="1101"/>
      <c r="D215" s="1101"/>
      <c r="E215" s="1101"/>
      <c r="F215" s="1101"/>
      <c r="G215" s="1101"/>
      <c r="H215" s="1101"/>
      <c r="I215" s="1101"/>
      <c r="J215" s="1101"/>
      <c r="K215" s="1101"/>
      <c r="L215" s="1101"/>
      <c r="M215" s="1101"/>
      <c r="N215" s="1101"/>
      <c r="O215" s="138"/>
      <c r="P215" s="136"/>
    </row>
    <row r="216" spans="1:16" ht="15">
      <c r="A216" s="150"/>
      <c r="B216" s="286"/>
      <c r="C216" s="141"/>
      <c r="D216" s="141"/>
      <c r="E216" s="141"/>
      <c r="F216" s="141"/>
      <c r="G216" s="141"/>
      <c r="H216" s="141"/>
      <c r="I216" s="141"/>
      <c r="J216" s="141"/>
      <c r="K216" s="314"/>
      <c r="L216" s="314"/>
      <c r="M216" s="601"/>
      <c r="N216" s="608"/>
      <c r="O216" s="138"/>
      <c r="P216" s="136"/>
    </row>
    <row r="217" spans="1:14" ht="12.75">
      <c r="A217" s="605" t="s">
        <v>142</v>
      </c>
      <c r="B217" s="605"/>
      <c r="C217" s="605"/>
      <c r="D217" s="605"/>
      <c r="E217" s="605"/>
      <c r="F217" s="605"/>
      <c r="G217" s="605"/>
      <c r="H217" s="605"/>
      <c r="I217" s="605"/>
      <c r="J217" s="605"/>
      <c r="K217" s="605"/>
      <c r="L217" s="396"/>
      <c r="M217" s="141"/>
      <c r="N217" s="627"/>
    </row>
    <row r="218" spans="1:14" ht="12.75">
      <c r="A218" s="603" t="s">
        <v>143</v>
      </c>
      <c r="B218" s="603"/>
      <c r="C218" s="603" t="s">
        <v>190</v>
      </c>
      <c r="E218" s="24" t="s">
        <v>493</v>
      </c>
      <c r="F218" s="603"/>
      <c r="G218" s="603" t="s">
        <v>485</v>
      </c>
      <c r="H218" s="603"/>
      <c r="I218" s="603" t="s">
        <v>484</v>
      </c>
      <c r="J218" s="605"/>
      <c r="K218" s="617" t="s">
        <v>159</v>
      </c>
      <c r="L218" s="605"/>
      <c r="M218" s="141"/>
      <c r="N218" s="627"/>
    </row>
    <row r="219" spans="1:14" ht="12.75">
      <c r="A219" s="603">
        <v>0.2</v>
      </c>
      <c r="B219" s="603" t="s">
        <v>93</v>
      </c>
      <c r="C219" s="603">
        <v>0.3</v>
      </c>
      <c r="D219" s="184" t="s">
        <v>29</v>
      </c>
      <c r="E219" s="603">
        <f>(A219+C219)*2</f>
        <v>1</v>
      </c>
      <c r="F219" s="603" t="s">
        <v>28</v>
      </c>
      <c r="G219" s="603">
        <v>3.1</v>
      </c>
      <c r="H219" s="603" t="s">
        <v>28</v>
      </c>
      <c r="I219" s="604">
        <v>2</v>
      </c>
      <c r="J219" s="605" t="s">
        <v>29</v>
      </c>
      <c r="K219" s="618">
        <f>ROUND((E219*G219*I219),2)</f>
        <v>6.2</v>
      </c>
      <c r="L219" s="619" t="s">
        <v>487</v>
      </c>
      <c r="M219" s="141"/>
      <c r="N219" s="627"/>
    </row>
    <row r="220" spans="1:14" ht="12.75">
      <c r="A220" s="603">
        <v>0.2</v>
      </c>
      <c r="B220" s="603" t="s">
        <v>93</v>
      </c>
      <c r="C220" s="603">
        <v>0.3</v>
      </c>
      <c r="D220" s="184" t="s">
        <v>29</v>
      </c>
      <c r="E220" s="603">
        <f aca="true" t="shared" si="16" ref="E220:E223">(A220+C220)*2</f>
        <v>1</v>
      </c>
      <c r="F220" s="603" t="s">
        <v>28</v>
      </c>
      <c r="G220" s="603">
        <v>3.1</v>
      </c>
      <c r="H220" s="603" t="s">
        <v>28</v>
      </c>
      <c r="I220" s="604">
        <v>4</v>
      </c>
      <c r="J220" s="605" t="s">
        <v>29</v>
      </c>
      <c r="K220" s="618">
        <f aca="true" t="shared" si="17" ref="K220:K224">ROUND((E220*G220*I220),2)</f>
        <v>12.4</v>
      </c>
      <c r="L220" s="619" t="s">
        <v>488</v>
      </c>
      <c r="M220" s="141"/>
      <c r="N220" s="627"/>
    </row>
    <row r="221" spans="1:14" ht="12.75">
      <c r="A221" s="603">
        <v>0.2</v>
      </c>
      <c r="B221" s="603" t="s">
        <v>93</v>
      </c>
      <c r="C221" s="603">
        <v>0.3</v>
      </c>
      <c r="D221" s="184" t="s">
        <v>29</v>
      </c>
      <c r="E221" s="603">
        <f t="shared" si="16"/>
        <v>1</v>
      </c>
      <c r="F221" s="603" t="s">
        <v>28</v>
      </c>
      <c r="G221" s="603">
        <v>3.1</v>
      </c>
      <c r="H221" s="603" t="s">
        <v>28</v>
      </c>
      <c r="I221" s="604">
        <v>4</v>
      </c>
      <c r="J221" s="605" t="s">
        <v>29</v>
      </c>
      <c r="K221" s="618">
        <f t="shared" si="17"/>
        <v>12.4</v>
      </c>
      <c r="L221" s="619" t="s">
        <v>489</v>
      </c>
      <c r="M221" s="149"/>
      <c r="N221" s="627"/>
    </row>
    <row r="222" spans="1:14" ht="12.75">
      <c r="A222" s="603">
        <v>0.15</v>
      </c>
      <c r="B222" s="603" t="s">
        <v>93</v>
      </c>
      <c r="C222" s="603">
        <v>0.3</v>
      </c>
      <c r="D222" s="184" t="s">
        <v>29</v>
      </c>
      <c r="E222" s="603">
        <f t="shared" si="16"/>
        <v>0.8999999999999999</v>
      </c>
      <c r="F222" s="603" t="s">
        <v>28</v>
      </c>
      <c r="G222" s="603">
        <v>3.1</v>
      </c>
      <c r="H222" s="603" t="s">
        <v>28</v>
      </c>
      <c r="I222" s="604">
        <v>4</v>
      </c>
      <c r="J222" s="605" t="s">
        <v>29</v>
      </c>
      <c r="K222" s="618">
        <f t="shared" si="17"/>
        <v>11.16</v>
      </c>
      <c r="L222" s="619" t="s">
        <v>490</v>
      </c>
      <c r="M222" s="149"/>
      <c r="N222" s="601"/>
    </row>
    <row r="223" spans="1:25" ht="15">
      <c r="A223" s="603">
        <v>0.15</v>
      </c>
      <c r="B223" s="603" t="s">
        <v>93</v>
      </c>
      <c r="C223" s="603">
        <v>0.2</v>
      </c>
      <c r="D223" s="184" t="s">
        <v>29</v>
      </c>
      <c r="E223" s="603">
        <f t="shared" si="16"/>
        <v>0.7</v>
      </c>
      <c r="F223" s="603" t="s">
        <v>28</v>
      </c>
      <c r="G223" s="603">
        <v>2.8</v>
      </c>
      <c r="H223" s="603" t="s">
        <v>28</v>
      </c>
      <c r="I223" s="604">
        <v>3</v>
      </c>
      <c r="J223" s="605" t="s">
        <v>29</v>
      </c>
      <c r="K223" s="618">
        <f t="shared" si="17"/>
        <v>5.88</v>
      </c>
      <c r="L223" s="619" t="s">
        <v>492</v>
      </c>
      <c r="M223" s="638"/>
      <c r="N223" s="601"/>
      <c r="O223" s="136"/>
      <c r="P223" s="140"/>
      <c r="Q223" s="136"/>
      <c r="R223" s="136"/>
      <c r="S223" s="136"/>
      <c r="T223" s="136"/>
      <c r="U223" s="139"/>
      <c r="V223" s="136"/>
      <c r="W223" s="136"/>
      <c r="X223" s="136"/>
      <c r="Y223" s="136"/>
    </row>
    <row r="224" spans="1:25" ht="15">
      <c r="A224" s="603" t="s">
        <v>486</v>
      </c>
      <c r="B224" s="603"/>
      <c r="C224" s="603">
        <f>2*3.14*0.15</f>
        <v>0.942</v>
      </c>
      <c r="D224" s="184" t="s">
        <v>29</v>
      </c>
      <c r="E224" s="603">
        <f>C224</f>
        <v>0.942</v>
      </c>
      <c r="F224" s="603" t="s">
        <v>28</v>
      </c>
      <c r="G224" s="603">
        <v>3.1</v>
      </c>
      <c r="H224" s="603" t="s">
        <v>28</v>
      </c>
      <c r="I224" s="604">
        <v>2</v>
      </c>
      <c r="J224" s="605" t="s">
        <v>29</v>
      </c>
      <c r="K224" s="618">
        <f t="shared" si="17"/>
        <v>5.84</v>
      </c>
      <c r="L224" s="619" t="s">
        <v>491</v>
      </c>
      <c r="M224" s="638"/>
      <c r="N224" s="627"/>
      <c r="O224" s="136"/>
      <c r="P224" s="140"/>
      <c r="Q224" s="136"/>
      <c r="R224" s="136"/>
      <c r="S224" s="136"/>
      <c r="T224" s="136"/>
      <c r="U224" s="139"/>
      <c r="V224" s="136"/>
      <c r="W224" s="136"/>
      <c r="X224" s="136"/>
      <c r="Y224" s="136"/>
    </row>
    <row r="225" spans="1:25" s="165" customFormat="1" ht="15">
      <c r="A225" s="150"/>
      <c r="B225" s="141"/>
      <c r="C225" s="639"/>
      <c r="D225" s="149"/>
      <c r="E225" s="639"/>
      <c r="F225" s="141"/>
      <c r="G225" s="285"/>
      <c r="H225" s="141"/>
      <c r="I225" s="639"/>
      <c r="J225" s="141"/>
      <c r="K225" s="149"/>
      <c r="L225" s="149"/>
      <c r="M225" s="630"/>
      <c r="N225" s="627"/>
      <c r="O225" s="136"/>
      <c r="P225" s="140"/>
      <c r="Q225" s="136"/>
      <c r="R225" s="136"/>
      <c r="S225" s="136"/>
      <c r="T225" s="136"/>
      <c r="U225" s="139"/>
      <c r="V225" s="136"/>
      <c r="W225" s="136"/>
      <c r="X225" s="136"/>
      <c r="Y225" s="136"/>
    </row>
    <row r="226" spans="1:16" ht="12.75">
      <c r="A226" s="603"/>
      <c r="B226" s="643" t="s">
        <v>32</v>
      </c>
      <c r="C226" s="644">
        <f>SUM(K219:K225)</f>
        <v>53.879999999999995</v>
      </c>
      <c r="D226" s="645" t="s">
        <v>1</v>
      </c>
      <c r="E226" s="603"/>
      <c r="F226" s="604"/>
      <c r="G226" s="605"/>
      <c r="H226" s="605"/>
      <c r="I226" s="605"/>
      <c r="J226" s="605"/>
      <c r="K226" s="605"/>
      <c r="L226" s="605"/>
      <c r="M226" s="605"/>
      <c r="N226" s="627"/>
      <c r="O226" s="136"/>
      <c r="P226" s="136"/>
    </row>
    <row r="227" spans="1:16" s="270" customFormat="1" ht="12.75">
      <c r="A227" s="603"/>
      <c r="B227" s="646"/>
      <c r="C227" s="646"/>
      <c r="D227" s="618"/>
      <c r="E227" s="603"/>
      <c r="F227" s="604"/>
      <c r="G227" s="605"/>
      <c r="H227" s="605"/>
      <c r="I227" s="605"/>
      <c r="J227" s="605"/>
      <c r="K227" s="605"/>
      <c r="L227" s="605"/>
      <c r="M227" s="605"/>
      <c r="N227" s="627"/>
      <c r="O227" s="141"/>
      <c r="P227" s="141"/>
    </row>
    <row r="228" spans="1:15" ht="15">
      <c r="A228" s="150" t="str">
        <f>'ORÇAMENTO NÃO DESONERADO'!A59</f>
        <v>5.3.1.2</v>
      </c>
      <c r="B228" s="635" t="str">
        <f>'ORÇAMENTO NÃO DESONERADO'!C59</f>
        <v>CONCRETO FCK = 20MPA, TRAÇO 1:2,7:3 (CIMENTO/ AREIA MÉDIA/ BRITA 1)  - PREPARO MECÂNICO COM BETONEIRA 400 L. AF_07/2016</v>
      </c>
      <c r="C228" s="636"/>
      <c r="D228" s="636"/>
      <c r="E228" s="636"/>
      <c r="F228" s="636"/>
      <c r="G228" s="636"/>
      <c r="H228" s="636"/>
      <c r="I228" s="636"/>
      <c r="J228" s="636"/>
      <c r="K228" s="636"/>
      <c r="L228" s="636"/>
      <c r="M228" s="636"/>
      <c r="N228" s="636"/>
      <c r="O228" s="145"/>
    </row>
    <row r="229" spans="1:16" ht="12.75">
      <c r="A229" s="270"/>
      <c r="B229" s="605" t="s">
        <v>142</v>
      </c>
      <c r="C229" s="605"/>
      <c r="D229" s="605"/>
      <c r="E229" s="605"/>
      <c r="F229" s="605"/>
      <c r="G229" s="605"/>
      <c r="H229" s="605"/>
      <c r="I229" s="605"/>
      <c r="J229" s="605"/>
      <c r="K229" s="605"/>
      <c r="L229" s="605"/>
      <c r="M229" s="157"/>
      <c r="N229" s="608"/>
      <c r="O229" s="138"/>
      <c r="P229" s="136"/>
    </row>
    <row r="230" spans="1:16" ht="12.75">
      <c r="A230" s="605"/>
      <c r="B230" s="603" t="s">
        <v>143</v>
      </c>
      <c r="C230" s="603"/>
      <c r="D230" s="603" t="s">
        <v>190</v>
      </c>
      <c r="E230" s="603"/>
      <c r="F230" s="603" t="s">
        <v>485</v>
      </c>
      <c r="G230" s="603"/>
      <c r="H230" s="603" t="s">
        <v>484</v>
      </c>
      <c r="I230" s="605"/>
      <c r="J230" s="617" t="s">
        <v>483</v>
      </c>
      <c r="K230" s="605"/>
      <c r="N230" s="601"/>
      <c r="O230" s="138"/>
      <c r="P230" s="136"/>
    </row>
    <row r="231" spans="1:16" ht="12.75">
      <c r="A231" s="603"/>
      <c r="B231" s="603">
        <v>0.2</v>
      </c>
      <c r="C231" s="603" t="s">
        <v>28</v>
      </c>
      <c r="D231" s="603">
        <v>0.3</v>
      </c>
      <c r="E231" s="603" t="s">
        <v>28</v>
      </c>
      <c r="F231" s="603">
        <v>3.1</v>
      </c>
      <c r="G231" s="603" t="s">
        <v>28</v>
      </c>
      <c r="H231" s="604">
        <v>2</v>
      </c>
      <c r="I231" s="605" t="s">
        <v>29</v>
      </c>
      <c r="J231" s="618">
        <f>ROUND((B231*D231*F231*H231),2)</f>
        <v>0.37</v>
      </c>
      <c r="K231" s="619" t="s">
        <v>487</v>
      </c>
      <c r="N231" s="601"/>
      <c r="O231" s="138"/>
      <c r="P231" s="136"/>
    </row>
    <row r="232" spans="1:16" ht="15">
      <c r="A232" s="603"/>
      <c r="B232" s="603">
        <v>0.2</v>
      </c>
      <c r="C232" s="603" t="s">
        <v>28</v>
      </c>
      <c r="D232" s="603">
        <v>0.3</v>
      </c>
      <c r="E232" s="603" t="s">
        <v>28</v>
      </c>
      <c r="F232" s="603">
        <v>3.1</v>
      </c>
      <c r="G232" s="603" t="s">
        <v>28</v>
      </c>
      <c r="H232" s="604">
        <v>4</v>
      </c>
      <c r="I232" s="605" t="s">
        <v>29</v>
      </c>
      <c r="J232" s="618">
        <f aca="true" t="shared" si="18" ref="J232:J235">ROUND((B232*D232*F232*H232),2)</f>
        <v>0.74</v>
      </c>
      <c r="K232" s="619" t="s">
        <v>488</v>
      </c>
      <c r="N232" s="607"/>
      <c r="O232" s="138"/>
      <c r="P232" s="136"/>
    </row>
    <row r="233" spans="1:16" ht="15">
      <c r="A233" s="603"/>
      <c r="B233" s="603">
        <v>0.2</v>
      </c>
      <c r="C233" s="603" t="s">
        <v>28</v>
      </c>
      <c r="D233" s="603">
        <v>0.3</v>
      </c>
      <c r="E233" s="603" t="s">
        <v>28</v>
      </c>
      <c r="F233" s="603">
        <v>3.1</v>
      </c>
      <c r="G233" s="603" t="s">
        <v>28</v>
      </c>
      <c r="H233" s="604">
        <v>4</v>
      </c>
      <c r="I233" s="605" t="s">
        <v>29</v>
      </c>
      <c r="J233" s="618">
        <f t="shared" si="18"/>
        <v>0.74</v>
      </c>
      <c r="K233" s="619" t="s">
        <v>489</v>
      </c>
      <c r="N233" s="607"/>
      <c r="O233" s="138"/>
      <c r="P233" s="136"/>
    </row>
    <row r="234" spans="1:16" ht="12.75">
      <c r="A234" s="603"/>
      <c r="B234" s="603">
        <v>0.15</v>
      </c>
      <c r="C234" s="603" t="s">
        <v>28</v>
      </c>
      <c r="D234" s="603">
        <v>0.3</v>
      </c>
      <c r="E234" s="603" t="s">
        <v>28</v>
      </c>
      <c r="F234" s="603">
        <v>3.1</v>
      </c>
      <c r="G234" s="603" t="s">
        <v>28</v>
      </c>
      <c r="H234" s="604">
        <v>4</v>
      </c>
      <c r="I234" s="605" t="s">
        <v>29</v>
      </c>
      <c r="J234" s="618">
        <f t="shared" si="18"/>
        <v>0.56</v>
      </c>
      <c r="K234" s="619" t="s">
        <v>490</v>
      </c>
      <c r="N234" s="627"/>
      <c r="O234" s="138"/>
      <c r="P234" s="136"/>
    </row>
    <row r="235" spans="1:16" ht="12.75">
      <c r="A235" s="603"/>
      <c r="B235" s="603">
        <v>0.15</v>
      </c>
      <c r="C235" s="603" t="s">
        <v>28</v>
      </c>
      <c r="D235" s="603">
        <v>0.2</v>
      </c>
      <c r="E235" s="603" t="s">
        <v>28</v>
      </c>
      <c r="F235" s="603">
        <v>2.8</v>
      </c>
      <c r="G235" s="603" t="s">
        <v>28</v>
      </c>
      <c r="H235" s="604">
        <v>3</v>
      </c>
      <c r="I235" s="605" t="s">
        <v>29</v>
      </c>
      <c r="J235" s="618">
        <f t="shared" si="18"/>
        <v>0.25</v>
      </c>
      <c r="K235" s="619" t="s">
        <v>492</v>
      </c>
      <c r="N235" s="157"/>
      <c r="O235" s="138"/>
      <c r="P235" s="136"/>
    </row>
    <row r="236" spans="1:16" ht="15">
      <c r="A236" s="603"/>
      <c r="B236" s="603" t="s">
        <v>486</v>
      </c>
      <c r="C236" s="603"/>
      <c r="D236" s="603">
        <f>3.14*(0.15*0.15)</f>
        <v>0.07065</v>
      </c>
      <c r="E236" s="603" t="s">
        <v>28</v>
      </c>
      <c r="F236" s="603">
        <v>3.1</v>
      </c>
      <c r="G236" s="603" t="s">
        <v>28</v>
      </c>
      <c r="H236" s="604">
        <v>2</v>
      </c>
      <c r="I236" s="605" t="s">
        <v>29</v>
      </c>
      <c r="J236" s="618">
        <f>ROUND((D236*F236*H236),2)</f>
        <v>0.44</v>
      </c>
      <c r="K236" s="619" t="s">
        <v>491</v>
      </c>
      <c r="N236" s="607"/>
      <c r="O236" s="138"/>
      <c r="P236" s="136"/>
    </row>
    <row r="237" spans="1:16" ht="15">
      <c r="A237" s="603"/>
      <c r="B237" s="603"/>
      <c r="C237" s="603"/>
      <c r="D237" s="603"/>
      <c r="E237" s="603"/>
      <c r="F237" s="603"/>
      <c r="G237" s="603"/>
      <c r="H237" s="604"/>
      <c r="I237" s="605"/>
      <c r="J237" s="605"/>
      <c r="K237" s="603"/>
      <c r="L237" s="618"/>
      <c r="M237" s="605"/>
      <c r="N237" s="607"/>
      <c r="O237" s="138"/>
      <c r="P237" s="136"/>
    </row>
    <row r="238" spans="1:16" ht="12.75">
      <c r="A238" s="603"/>
      <c r="B238" s="643" t="s">
        <v>32</v>
      </c>
      <c r="C238" s="644">
        <f>SUM(J231:J237)</f>
        <v>3.1</v>
      </c>
      <c r="D238" s="645" t="s">
        <v>1</v>
      </c>
      <c r="E238" s="603"/>
      <c r="F238" s="604"/>
      <c r="G238" s="605"/>
      <c r="H238" s="605"/>
      <c r="I238" s="605"/>
      <c r="J238" s="605"/>
      <c r="K238" s="605"/>
      <c r="L238" s="605"/>
      <c r="M238" s="605"/>
      <c r="N238" s="627"/>
      <c r="O238" s="136"/>
      <c r="P238" s="136"/>
    </row>
    <row r="239" spans="1:16" ht="15">
      <c r="A239" s="150"/>
      <c r="B239" s="141"/>
      <c r="C239" s="141"/>
      <c r="D239" s="141"/>
      <c r="E239" s="141"/>
      <c r="F239" s="601"/>
      <c r="G239" s="601"/>
      <c r="H239" s="601"/>
      <c r="I239" s="601"/>
      <c r="J239" s="601"/>
      <c r="K239" s="601"/>
      <c r="L239" s="601"/>
      <c r="M239" s="601"/>
      <c r="N239" s="601"/>
      <c r="O239" s="143"/>
      <c r="P239" s="136"/>
    </row>
    <row r="240" spans="1:15" ht="30" customHeight="1">
      <c r="A240" s="150" t="str">
        <f>'ORÇAMENTO NÃO DESONERADO'!A60</f>
        <v>5.3.1.3</v>
      </c>
      <c r="B240" s="1102" t="str">
        <f>'ORÇAMENTO NÃO DESONERADO'!C60</f>
        <v>ARMAÇÃO DE PILAR OU VIGA DE UMA ESTRUTURA CONVENCIONAL DE CONCRETO ARMADO EM UMA EDIFICAÇÃO TÉRREA OU SOBRADO UTILIZANDO AÇO CA-60 DE 5,0 MM - MONTAGEM. AF_12/2015</v>
      </c>
      <c r="C240" s="1102"/>
      <c r="D240" s="1102"/>
      <c r="E240" s="1102"/>
      <c r="F240" s="1102"/>
      <c r="G240" s="1102"/>
      <c r="H240" s="1102"/>
      <c r="I240" s="1102"/>
      <c r="J240" s="1102"/>
      <c r="K240" s="1102"/>
      <c r="L240" s="1102"/>
      <c r="M240" s="1102"/>
      <c r="N240" s="1102"/>
      <c r="O240" s="167"/>
    </row>
    <row r="241" spans="1:15" ht="15">
      <c r="A241" s="150"/>
      <c r="B241" s="636"/>
      <c r="C241" s="636"/>
      <c r="D241" s="636"/>
      <c r="E241" s="636"/>
      <c r="F241" s="636"/>
      <c r="G241" s="636"/>
      <c r="H241" s="636"/>
      <c r="I241" s="636"/>
      <c r="J241" s="636"/>
      <c r="K241" s="636"/>
      <c r="L241" s="636"/>
      <c r="M241" s="636"/>
      <c r="N241" s="636"/>
      <c r="O241" s="144"/>
    </row>
    <row r="242" spans="1:25" s="165" customFormat="1" ht="15">
      <c r="A242" s="150"/>
      <c r="B242" s="643" t="s">
        <v>157</v>
      </c>
      <c r="C242" s="644">
        <v>50.66</v>
      </c>
      <c r="D242" s="645" t="s">
        <v>30</v>
      </c>
      <c r="E242" s="149"/>
      <c r="F242" s="149"/>
      <c r="G242" s="149"/>
      <c r="H242" s="640"/>
      <c r="I242" s="389"/>
      <c r="J242" s="641"/>
      <c r="K242" s="149"/>
      <c r="L242" s="149"/>
      <c r="M242" s="149"/>
      <c r="N242" s="141"/>
      <c r="O242" s="136"/>
      <c r="P242" s="140"/>
      <c r="Q242" s="136"/>
      <c r="R242" s="136"/>
      <c r="S242" s="136"/>
      <c r="T242" s="136"/>
      <c r="U242" s="139"/>
      <c r="V242" s="136"/>
      <c r="W242" s="136"/>
      <c r="X242" s="136"/>
      <c r="Y242" s="136"/>
    </row>
    <row r="243" spans="1:25" s="165" customFormat="1" ht="15">
      <c r="A243" s="150"/>
      <c r="B243" s="141"/>
      <c r="C243" s="149"/>
      <c r="D243" s="149"/>
      <c r="E243" s="149"/>
      <c r="F243" s="149"/>
      <c r="G243" s="149"/>
      <c r="H243" s="640"/>
      <c r="I243" s="389"/>
      <c r="J243" s="641"/>
      <c r="K243" s="149"/>
      <c r="L243" s="149"/>
      <c r="M243" s="630"/>
      <c r="N243" s="282"/>
      <c r="O243" s="136"/>
      <c r="P243" s="140"/>
      <c r="Q243" s="136"/>
      <c r="R243" s="136"/>
      <c r="S243" s="136"/>
      <c r="T243" s="136"/>
      <c r="U243" s="139"/>
      <c r="V243" s="136"/>
      <c r="W243" s="136"/>
      <c r="X243" s="136"/>
      <c r="Y243" s="136"/>
    </row>
    <row r="244" spans="1:15" ht="30.75" customHeight="1">
      <c r="A244" s="150" t="str">
        <f>'ORÇAMENTO NÃO DESONERADO'!A61</f>
        <v>5.3.1.4</v>
      </c>
      <c r="B244" s="1102" t="str">
        <f>'ORÇAMENTO NÃO DESONERADO'!C61</f>
        <v>ARMAÇÃO DE PILAR OU VIGA DE UMA ESTRUTURA CONVENCIONAL DE CONCRETO ARMADO EM UMA EDIFICAÇÃO TÉRREA OU SOBRADO UTILIZANDO AÇO CA-50 DE 8,0 MM - MONTAGEM. AF_12/2015</v>
      </c>
      <c r="C244" s="1102"/>
      <c r="D244" s="1102"/>
      <c r="E244" s="1102"/>
      <c r="F244" s="1102"/>
      <c r="G244" s="1102"/>
      <c r="H244" s="1102"/>
      <c r="I244" s="1102"/>
      <c r="J244" s="1102"/>
      <c r="K244" s="1102"/>
      <c r="L244" s="1102"/>
      <c r="M244" s="1102"/>
      <c r="N244" s="1102"/>
      <c r="O244" s="167"/>
    </row>
    <row r="245" spans="1:15" ht="15">
      <c r="A245" s="150"/>
      <c r="B245" s="636"/>
      <c r="C245" s="636"/>
      <c r="D245" s="636"/>
      <c r="E245" s="636"/>
      <c r="F245" s="636"/>
      <c r="G245" s="636"/>
      <c r="H245" s="636"/>
      <c r="I245" s="636"/>
      <c r="J245" s="636"/>
      <c r="K245" s="636"/>
      <c r="L245" s="636"/>
      <c r="M245" s="636"/>
      <c r="N245" s="636"/>
      <c r="O245" s="144"/>
    </row>
    <row r="246" spans="1:25" s="165" customFormat="1" ht="15">
      <c r="A246" s="150"/>
      <c r="B246" s="732" t="s">
        <v>157</v>
      </c>
      <c r="C246" s="733">
        <v>16.12</v>
      </c>
      <c r="D246" s="734" t="s">
        <v>30</v>
      </c>
      <c r="E246" s="149"/>
      <c r="F246" s="149"/>
      <c r="G246" s="149"/>
      <c r="H246" s="640"/>
      <c r="I246" s="389"/>
      <c r="J246" s="641"/>
      <c r="K246" s="149"/>
      <c r="L246" s="149"/>
      <c r="M246" s="149"/>
      <c r="N246" s="141"/>
      <c r="O246" s="136"/>
      <c r="P246" s="140"/>
      <c r="Q246" s="136"/>
      <c r="R246" s="136"/>
      <c r="S246" s="136"/>
      <c r="T246" s="136"/>
      <c r="U246" s="139"/>
      <c r="V246" s="136"/>
      <c r="W246" s="136"/>
      <c r="X246" s="136"/>
      <c r="Y246" s="136"/>
    </row>
    <row r="247" spans="1:25" s="165" customFormat="1" ht="15">
      <c r="A247" s="150"/>
      <c r="B247" s="141"/>
      <c r="C247" s="149"/>
      <c r="D247" s="149"/>
      <c r="E247" s="149"/>
      <c r="F247" s="149"/>
      <c r="G247" s="149"/>
      <c r="H247" s="640"/>
      <c r="I247" s="389"/>
      <c r="J247" s="641"/>
      <c r="K247" s="149"/>
      <c r="L247" s="149"/>
      <c r="M247" s="630"/>
      <c r="N247" s="282"/>
      <c r="O247" s="136"/>
      <c r="P247" s="140"/>
      <c r="Q247" s="136"/>
      <c r="R247" s="136"/>
      <c r="S247" s="136"/>
      <c r="T247" s="136"/>
      <c r="U247" s="139"/>
      <c r="V247" s="136"/>
      <c r="W247" s="136"/>
      <c r="X247" s="136"/>
      <c r="Y247" s="136"/>
    </row>
    <row r="248" spans="1:15" ht="15">
      <c r="A248" s="150" t="str">
        <f>'ORÇAMENTO NÃO DESONERADO'!A62</f>
        <v>5.3.1.5</v>
      </c>
      <c r="B248" s="635" t="str">
        <f>'ORÇAMENTO NÃO DESONERADO'!C62</f>
        <v>ARMAÇÃO DE BLOCO, VIGA BALDRAME OU SAPATA UTILIZANDO AÇO CA-50 DE 10 MM - MONTAGEM. AF_06/2017</v>
      </c>
      <c r="C248" s="636"/>
      <c r="D248" s="636"/>
      <c r="E248" s="636"/>
      <c r="F248" s="636"/>
      <c r="G248" s="636"/>
      <c r="H248" s="636"/>
      <c r="I248" s="636"/>
      <c r="J248" s="636"/>
      <c r="K248" s="636"/>
      <c r="L248" s="636"/>
      <c r="M248" s="636"/>
      <c r="N248" s="636"/>
      <c r="O248" s="167"/>
    </row>
    <row r="249" spans="1:15" ht="15">
      <c r="A249" s="150"/>
      <c r="B249" s="636"/>
      <c r="C249" s="636"/>
      <c r="D249" s="636"/>
      <c r="E249" s="636"/>
      <c r="F249" s="636"/>
      <c r="G249" s="636"/>
      <c r="H249" s="636"/>
      <c r="I249" s="636"/>
      <c r="J249" s="636"/>
      <c r="K249" s="636"/>
      <c r="L249" s="636"/>
      <c r="M249" s="636"/>
      <c r="N249" s="636"/>
      <c r="O249" s="144"/>
    </row>
    <row r="250" spans="1:25" s="165" customFormat="1" ht="15">
      <c r="A250" s="150"/>
      <c r="B250" s="732" t="s">
        <v>157</v>
      </c>
      <c r="C250" s="733">
        <v>252.27</v>
      </c>
      <c r="D250" s="734" t="s">
        <v>30</v>
      </c>
      <c r="E250" s="149"/>
      <c r="F250" s="149"/>
      <c r="G250" s="149"/>
      <c r="H250" s="640"/>
      <c r="I250" s="389"/>
      <c r="J250" s="641"/>
      <c r="K250" s="149"/>
      <c r="L250" s="149"/>
      <c r="M250" s="149"/>
      <c r="N250" s="141"/>
      <c r="O250" s="136"/>
      <c r="P250" s="140"/>
      <c r="Q250" s="136"/>
      <c r="R250" s="136"/>
      <c r="S250" s="136"/>
      <c r="T250" s="136"/>
      <c r="U250" s="139"/>
      <c r="V250" s="136"/>
      <c r="W250" s="136"/>
      <c r="X250" s="136"/>
      <c r="Y250" s="136"/>
    </row>
    <row r="251" spans="1:25" s="165" customFormat="1" ht="15">
      <c r="A251" s="150"/>
      <c r="B251" s="141"/>
      <c r="C251" s="149"/>
      <c r="D251" s="149"/>
      <c r="E251" s="149"/>
      <c r="F251" s="149"/>
      <c r="G251" s="149"/>
      <c r="H251" s="640"/>
      <c r="I251" s="389"/>
      <c r="J251" s="641"/>
      <c r="K251" s="149"/>
      <c r="L251" s="149"/>
      <c r="M251" s="630"/>
      <c r="N251" s="282"/>
      <c r="O251" s="136"/>
      <c r="P251" s="140"/>
      <c r="Q251" s="136"/>
      <c r="R251" s="136"/>
      <c r="S251" s="136"/>
      <c r="T251" s="136"/>
      <c r="U251" s="139"/>
      <c r="V251" s="136"/>
      <c r="W251" s="136"/>
      <c r="X251" s="136"/>
      <c r="Y251" s="136"/>
    </row>
    <row r="252" spans="1:25" s="165" customFormat="1" ht="15">
      <c r="A252" s="157"/>
      <c r="B252" s="406" t="str">
        <f>'ORÇAMENTO NÃO DESONERADO'!C63</f>
        <v>VIGAS</v>
      </c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607"/>
      <c r="O252" s="136"/>
      <c r="P252" s="140"/>
      <c r="Q252" s="136"/>
      <c r="R252" s="136"/>
      <c r="S252" s="136"/>
      <c r="T252" s="136"/>
      <c r="U252" s="139"/>
      <c r="V252" s="136"/>
      <c r="W252" s="136"/>
      <c r="X252" s="136"/>
      <c r="Y252" s="136"/>
    </row>
    <row r="253" spans="1:25" s="165" customFormat="1" ht="15">
      <c r="A253" s="24"/>
      <c r="B253" s="24"/>
      <c r="C253" s="24"/>
      <c r="D253" s="24"/>
      <c r="E253" s="157"/>
      <c r="F253" s="157"/>
      <c r="G253" s="157"/>
      <c r="H253" s="157"/>
      <c r="I253" s="157"/>
      <c r="J253" s="157"/>
      <c r="K253" s="157"/>
      <c r="L253" s="157"/>
      <c r="M253" s="157"/>
      <c r="N253" s="314"/>
      <c r="O253" s="136"/>
      <c r="P253" s="140"/>
      <c r="Q253" s="136"/>
      <c r="R253" s="136"/>
      <c r="S253" s="136"/>
      <c r="T253" s="136"/>
      <c r="U253" s="139"/>
      <c r="V253" s="136"/>
      <c r="W253" s="136"/>
      <c r="X253" s="136"/>
      <c r="Y253" s="136"/>
    </row>
    <row r="254" spans="1:25" s="270" customFormat="1" ht="32.25" customHeight="1">
      <c r="A254" s="273" t="str">
        <f>'ORÇAMENTO NÃO DESONERADO'!A64</f>
        <v>5.3.2.1</v>
      </c>
      <c r="B254" s="1099" t="str">
        <f>'ORÇAMENTO NÃO DESONERADO'!C64</f>
        <v>MONTAGEM E DESMONTAGEM DE FÔRMA DE VIGA, ESCORAMENTO COM GARFO DE MADEIRA, PÉ-DIREITO SIMPLES, EM CHAPA DE MADEIRA PLASTIFICADA, 18 UTILIZAÇÕES. AF_12/2015</v>
      </c>
      <c r="C254" s="1099"/>
      <c r="D254" s="1099"/>
      <c r="E254" s="1099"/>
      <c r="F254" s="1099"/>
      <c r="G254" s="1099"/>
      <c r="H254" s="1099"/>
      <c r="I254" s="1099"/>
      <c r="J254" s="1099"/>
      <c r="K254" s="1099"/>
      <c r="L254" s="1099"/>
      <c r="M254" s="1099"/>
      <c r="N254" s="1099"/>
      <c r="O254" s="141"/>
      <c r="P254" s="150"/>
      <c r="Q254" s="141"/>
      <c r="R254" s="141"/>
      <c r="S254" s="141"/>
      <c r="T254" s="141"/>
      <c r="U254" s="149"/>
      <c r="V254" s="141"/>
      <c r="W254" s="141"/>
      <c r="X254" s="141"/>
      <c r="Y254" s="141"/>
    </row>
    <row r="255" spans="1:25" s="270" customFormat="1" ht="15">
      <c r="A255" s="647"/>
      <c r="B255" s="647"/>
      <c r="C255" s="647"/>
      <c r="D255" s="647"/>
      <c r="E255" s="647"/>
      <c r="F255" s="647"/>
      <c r="G255" s="647"/>
      <c r="H255" s="647"/>
      <c r="I255" s="647"/>
      <c r="J255" s="647"/>
      <c r="K255" s="647"/>
      <c r="L255" s="647"/>
      <c r="M255" s="647"/>
      <c r="N255" s="647"/>
      <c r="O255" s="141"/>
      <c r="P255" s="150"/>
      <c r="Q255" s="141"/>
      <c r="R255" s="141"/>
      <c r="S255" s="141"/>
      <c r="T255" s="141"/>
      <c r="U255" s="149"/>
      <c r="V255" s="141"/>
      <c r="W255" s="141"/>
      <c r="X255" s="141"/>
      <c r="Y255" s="141"/>
    </row>
    <row r="256" spans="1:25" s="270" customFormat="1" ht="15" customHeight="1">
      <c r="A256" s="385"/>
      <c r="B256" s="623" t="s">
        <v>500</v>
      </c>
      <c r="C256" s="623"/>
      <c r="D256" s="605"/>
      <c r="E256" s="605"/>
      <c r="F256" s="605"/>
      <c r="G256" s="605"/>
      <c r="H256" s="605"/>
      <c r="I256" s="605"/>
      <c r="J256" s="605"/>
      <c r="K256" s="605"/>
      <c r="L256" s="647"/>
      <c r="M256" s="647"/>
      <c r="N256" s="647"/>
      <c r="O256" s="141"/>
      <c r="P256" s="150"/>
      <c r="Q256" s="141"/>
      <c r="R256" s="141"/>
      <c r="S256" s="141"/>
      <c r="T256" s="141"/>
      <c r="U256" s="149"/>
      <c r="V256" s="141"/>
      <c r="W256" s="141"/>
      <c r="X256" s="141"/>
      <c r="Y256" s="141"/>
    </row>
    <row r="257" spans="1:25" s="270" customFormat="1" ht="15">
      <c r="A257" s="288"/>
      <c r="B257" s="603" t="s">
        <v>31</v>
      </c>
      <c r="C257" s="603"/>
      <c r="D257" s="603" t="s">
        <v>465</v>
      </c>
      <c r="E257" s="603"/>
      <c r="F257" s="603" t="s">
        <v>459</v>
      </c>
      <c r="G257" s="605"/>
      <c r="H257" s="603" t="s">
        <v>193</v>
      </c>
      <c r="I257" s="605"/>
      <c r="J257" s="605"/>
      <c r="K257" s="605"/>
      <c r="L257" s="647"/>
      <c r="M257" s="647"/>
      <c r="N257" s="647"/>
      <c r="O257" s="141"/>
      <c r="P257" s="150"/>
      <c r="Q257" s="141"/>
      <c r="R257" s="141"/>
      <c r="S257" s="141"/>
      <c r="T257" s="141"/>
      <c r="U257" s="149"/>
      <c r="V257" s="141"/>
      <c r="W257" s="141"/>
      <c r="X257" s="141"/>
      <c r="Y257" s="141"/>
    </row>
    <row r="258" spans="1:25" s="270" customFormat="1" ht="15">
      <c r="A258" s="619" t="s">
        <v>498</v>
      </c>
      <c r="B258" s="603">
        <f>14.02</f>
        <v>14.02</v>
      </c>
      <c r="C258" s="603" t="s">
        <v>28</v>
      </c>
      <c r="D258" s="603">
        <v>0.5</v>
      </c>
      <c r="E258" s="603" t="s">
        <v>28</v>
      </c>
      <c r="F258" s="604">
        <v>2</v>
      </c>
      <c r="G258" s="603" t="s">
        <v>28</v>
      </c>
      <c r="H258" s="604">
        <v>2</v>
      </c>
      <c r="I258" s="596" t="s">
        <v>29</v>
      </c>
      <c r="J258" s="603">
        <f aca="true" t="shared" si="19" ref="J258:J262">ROUND((B258*D258*F258*H258),2)</f>
        <v>28.04</v>
      </c>
      <c r="K258" s="619" t="s">
        <v>451</v>
      </c>
      <c r="L258" s="647"/>
      <c r="M258" s="647"/>
      <c r="N258" s="647"/>
      <c r="O258" s="141"/>
      <c r="P258" s="150"/>
      <c r="Q258" s="141"/>
      <c r="R258" s="141"/>
      <c r="S258" s="141"/>
      <c r="T258" s="141"/>
      <c r="U258" s="149"/>
      <c r="V258" s="141"/>
      <c r="W258" s="141"/>
      <c r="X258" s="141"/>
      <c r="Y258" s="141"/>
    </row>
    <row r="259" spans="1:25" s="270" customFormat="1" ht="15">
      <c r="A259" s="619" t="s">
        <v>498</v>
      </c>
      <c r="B259" s="603">
        <v>9.67</v>
      </c>
      <c r="C259" s="603" t="s">
        <v>28</v>
      </c>
      <c r="D259" s="603">
        <v>0.5</v>
      </c>
      <c r="E259" s="603" t="s">
        <v>28</v>
      </c>
      <c r="F259" s="604">
        <v>2</v>
      </c>
      <c r="G259" s="603" t="s">
        <v>28</v>
      </c>
      <c r="H259" s="604">
        <v>2</v>
      </c>
      <c r="I259" s="605" t="s">
        <v>29</v>
      </c>
      <c r="J259" s="603">
        <f t="shared" si="19"/>
        <v>19.34</v>
      </c>
      <c r="K259" s="619" t="s">
        <v>452</v>
      </c>
      <c r="L259" s="647"/>
      <c r="M259" s="647"/>
      <c r="N259" s="647"/>
      <c r="O259" s="141"/>
      <c r="P259" s="150"/>
      <c r="Q259" s="141"/>
      <c r="R259" s="141"/>
      <c r="S259" s="141"/>
      <c r="T259" s="141"/>
      <c r="U259" s="149"/>
      <c r="V259" s="141"/>
      <c r="W259" s="141"/>
      <c r="X259" s="141"/>
      <c r="Y259" s="141"/>
    </row>
    <row r="260" spans="1:25" s="270" customFormat="1" ht="15">
      <c r="A260" s="619" t="s">
        <v>498</v>
      </c>
      <c r="B260" s="603">
        <v>2.65</v>
      </c>
      <c r="C260" s="603" t="s">
        <v>28</v>
      </c>
      <c r="D260" s="603">
        <f>0.3</f>
        <v>0.3</v>
      </c>
      <c r="E260" s="603" t="s">
        <v>28</v>
      </c>
      <c r="F260" s="604">
        <v>2</v>
      </c>
      <c r="G260" s="603" t="s">
        <v>28</v>
      </c>
      <c r="H260" s="604">
        <v>2</v>
      </c>
      <c r="I260" s="605" t="s">
        <v>29</v>
      </c>
      <c r="J260" s="603">
        <f t="shared" si="19"/>
        <v>3.18</v>
      </c>
      <c r="K260" s="619" t="s">
        <v>453</v>
      </c>
      <c r="L260" s="648"/>
      <c r="M260" s="648"/>
      <c r="N260" s="647"/>
      <c r="O260" s="141"/>
      <c r="P260" s="150"/>
      <c r="Q260" s="141"/>
      <c r="R260" s="141"/>
      <c r="S260" s="141"/>
      <c r="T260" s="141"/>
      <c r="U260" s="149"/>
      <c r="V260" s="141"/>
      <c r="W260" s="141"/>
      <c r="X260" s="141"/>
      <c r="Y260" s="141"/>
    </row>
    <row r="261" spans="1:25" s="270" customFormat="1" ht="15">
      <c r="A261" s="619" t="s">
        <v>498</v>
      </c>
      <c r="B261" s="603">
        <f>1.63+3.28</f>
        <v>4.91</v>
      </c>
      <c r="C261" s="603" t="s">
        <v>28</v>
      </c>
      <c r="D261" s="603">
        <f>0.3</f>
        <v>0.3</v>
      </c>
      <c r="E261" s="603" t="s">
        <v>28</v>
      </c>
      <c r="F261" s="604">
        <v>2</v>
      </c>
      <c r="G261" s="603" t="s">
        <v>28</v>
      </c>
      <c r="H261" s="604">
        <v>1</v>
      </c>
      <c r="I261" s="605" t="s">
        <v>29</v>
      </c>
      <c r="J261" s="603">
        <f t="shared" si="19"/>
        <v>2.95</v>
      </c>
      <c r="K261" s="619" t="s">
        <v>454</v>
      </c>
      <c r="L261" s="648"/>
      <c r="M261" s="648"/>
      <c r="N261" s="647"/>
      <c r="O261" s="141"/>
      <c r="P261" s="150"/>
      <c r="Q261" s="141"/>
      <c r="R261" s="141"/>
      <c r="S261" s="141"/>
      <c r="T261" s="141"/>
      <c r="U261" s="149"/>
      <c r="V261" s="141"/>
      <c r="W261" s="141"/>
      <c r="X261" s="141"/>
      <c r="Y261" s="141"/>
    </row>
    <row r="262" spans="1:25" s="270" customFormat="1" ht="15">
      <c r="A262" s="619" t="s">
        <v>498</v>
      </c>
      <c r="B262" s="603">
        <v>2.22</v>
      </c>
      <c r="C262" s="603" t="s">
        <v>28</v>
      </c>
      <c r="D262" s="603">
        <v>0.5</v>
      </c>
      <c r="E262" s="603" t="s">
        <v>28</v>
      </c>
      <c r="F262" s="604">
        <v>2</v>
      </c>
      <c r="G262" s="603" t="s">
        <v>28</v>
      </c>
      <c r="H262" s="604">
        <v>1</v>
      </c>
      <c r="I262" s="605" t="s">
        <v>29</v>
      </c>
      <c r="J262" s="603">
        <f t="shared" si="19"/>
        <v>2.22</v>
      </c>
      <c r="K262" s="619" t="s">
        <v>455</v>
      </c>
      <c r="L262" s="648"/>
      <c r="M262" s="648"/>
      <c r="N262" s="647"/>
      <c r="O262" s="141"/>
      <c r="P262" s="150"/>
      <c r="Q262" s="141"/>
      <c r="R262" s="141"/>
      <c r="S262" s="141"/>
      <c r="T262" s="141"/>
      <c r="U262" s="149"/>
      <c r="V262" s="141"/>
      <c r="W262" s="141"/>
      <c r="X262" s="141"/>
      <c r="Y262" s="141"/>
    </row>
    <row r="263" spans="1:25" s="270" customFormat="1" ht="15">
      <c r="A263" s="288"/>
      <c r="B263" s="603"/>
      <c r="C263" s="603"/>
      <c r="D263" s="603"/>
      <c r="E263" s="603"/>
      <c r="F263" s="604"/>
      <c r="G263" s="603"/>
      <c r="H263" s="604"/>
      <c r="I263" s="605"/>
      <c r="J263" s="603"/>
      <c r="K263" s="619"/>
      <c r="L263" s="648"/>
      <c r="M263" s="648"/>
      <c r="N263" s="647"/>
      <c r="O263" s="141"/>
      <c r="P263" s="150"/>
      <c r="Q263" s="141"/>
      <c r="R263" s="141"/>
      <c r="S263" s="141"/>
      <c r="T263" s="141"/>
      <c r="U263" s="149"/>
      <c r="V263" s="141"/>
      <c r="W263" s="141"/>
      <c r="X263" s="141"/>
      <c r="Y263" s="141"/>
    </row>
    <row r="264" spans="1:25" s="270" customFormat="1" ht="15">
      <c r="A264" s="619" t="s">
        <v>499</v>
      </c>
      <c r="B264" s="603">
        <f>14.02</f>
        <v>14.02</v>
      </c>
      <c r="C264" s="603" t="s">
        <v>28</v>
      </c>
      <c r="D264" s="603">
        <v>0.2</v>
      </c>
      <c r="E264" s="603" t="s">
        <v>28</v>
      </c>
      <c r="F264" s="604">
        <v>1</v>
      </c>
      <c r="G264" s="603" t="s">
        <v>28</v>
      </c>
      <c r="H264" s="604">
        <v>2</v>
      </c>
      <c r="I264" s="596" t="s">
        <v>29</v>
      </c>
      <c r="J264" s="603">
        <f aca="true" t="shared" si="20" ref="J264:J268">ROUND((B264*D264*F264*H264),2)</f>
        <v>5.61</v>
      </c>
      <c r="K264" s="619" t="s">
        <v>451</v>
      </c>
      <c r="L264" s="648"/>
      <c r="M264" s="648"/>
      <c r="N264" s="647"/>
      <c r="O264" s="141"/>
      <c r="P264" s="150"/>
      <c r="Q264" s="141"/>
      <c r="R264" s="141"/>
      <c r="S264" s="141"/>
      <c r="T264" s="141"/>
      <c r="U264" s="149"/>
      <c r="V264" s="141"/>
      <c r="W264" s="141"/>
      <c r="X264" s="141"/>
      <c r="Y264" s="141"/>
    </row>
    <row r="265" spans="1:25" s="270" customFormat="1" ht="15">
      <c r="A265" s="619" t="s">
        <v>499</v>
      </c>
      <c r="B265" s="603">
        <v>9.67</v>
      </c>
      <c r="C265" s="603" t="s">
        <v>28</v>
      </c>
      <c r="D265" s="603">
        <v>0.2</v>
      </c>
      <c r="E265" s="603" t="s">
        <v>28</v>
      </c>
      <c r="F265" s="604">
        <v>1</v>
      </c>
      <c r="G265" s="603" t="s">
        <v>28</v>
      </c>
      <c r="H265" s="604">
        <v>2</v>
      </c>
      <c r="I265" s="605" t="s">
        <v>29</v>
      </c>
      <c r="J265" s="603">
        <f t="shared" si="20"/>
        <v>3.87</v>
      </c>
      <c r="K265" s="619" t="s">
        <v>452</v>
      </c>
      <c r="L265" s="648"/>
      <c r="M265" s="648"/>
      <c r="N265" s="647"/>
      <c r="O265" s="141"/>
      <c r="P265" s="150"/>
      <c r="Q265" s="141"/>
      <c r="R265" s="141"/>
      <c r="S265" s="141"/>
      <c r="T265" s="141"/>
      <c r="U265" s="149"/>
      <c r="V265" s="141"/>
      <c r="W265" s="141"/>
      <c r="X265" s="141"/>
      <c r="Y265" s="141"/>
    </row>
    <row r="266" spans="1:25" s="270" customFormat="1" ht="15">
      <c r="A266" s="619" t="s">
        <v>499</v>
      </c>
      <c r="B266" s="603">
        <v>2.65</v>
      </c>
      <c r="C266" s="603" t="s">
        <v>28</v>
      </c>
      <c r="D266" s="603">
        <v>0.15</v>
      </c>
      <c r="E266" s="603" t="s">
        <v>28</v>
      </c>
      <c r="F266" s="604">
        <v>1</v>
      </c>
      <c r="G266" s="603" t="s">
        <v>28</v>
      </c>
      <c r="H266" s="604">
        <v>2</v>
      </c>
      <c r="I266" s="605" t="s">
        <v>29</v>
      </c>
      <c r="J266" s="603">
        <f t="shared" si="20"/>
        <v>0.8</v>
      </c>
      <c r="K266" s="619" t="s">
        <v>453</v>
      </c>
      <c r="L266" s="648"/>
      <c r="M266" s="648"/>
      <c r="N266" s="647"/>
      <c r="O266" s="141"/>
      <c r="P266" s="150"/>
      <c r="Q266" s="141"/>
      <c r="R266" s="141"/>
      <c r="S266" s="141"/>
      <c r="T266" s="141"/>
      <c r="U266" s="149"/>
      <c r="V266" s="141"/>
      <c r="W266" s="141"/>
      <c r="X266" s="141"/>
      <c r="Y266" s="141"/>
    </row>
    <row r="267" spans="1:25" s="270" customFormat="1" ht="15">
      <c r="A267" s="619" t="s">
        <v>499</v>
      </c>
      <c r="B267" s="603">
        <f>1.63+3.28</f>
        <v>4.91</v>
      </c>
      <c r="C267" s="603" t="s">
        <v>28</v>
      </c>
      <c r="D267" s="603">
        <v>0.15</v>
      </c>
      <c r="E267" s="603" t="s">
        <v>28</v>
      </c>
      <c r="F267" s="604">
        <v>1</v>
      </c>
      <c r="G267" s="603" t="s">
        <v>28</v>
      </c>
      <c r="H267" s="604">
        <v>1</v>
      </c>
      <c r="I267" s="605" t="s">
        <v>29</v>
      </c>
      <c r="J267" s="603">
        <f t="shared" si="20"/>
        <v>0.74</v>
      </c>
      <c r="K267" s="619" t="s">
        <v>454</v>
      </c>
      <c r="L267" s="648"/>
      <c r="M267" s="648"/>
      <c r="N267" s="647"/>
      <c r="O267" s="141"/>
      <c r="P267" s="150"/>
      <c r="Q267" s="141"/>
      <c r="R267" s="141"/>
      <c r="S267" s="141"/>
      <c r="T267" s="141"/>
      <c r="U267" s="149"/>
      <c r="V267" s="141"/>
      <c r="W267" s="141"/>
      <c r="X267" s="141"/>
      <c r="Y267" s="141"/>
    </row>
    <row r="268" spans="1:25" s="270" customFormat="1" ht="15">
      <c r="A268" s="619" t="s">
        <v>499</v>
      </c>
      <c r="B268" s="603">
        <v>2.22</v>
      </c>
      <c r="C268" s="603" t="s">
        <v>28</v>
      </c>
      <c r="D268" s="603">
        <v>0.2</v>
      </c>
      <c r="E268" s="603" t="s">
        <v>28</v>
      </c>
      <c r="F268" s="604">
        <v>1</v>
      </c>
      <c r="G268" s="603" t="s">
        <v>28</v>
      </c>
      <c r="H268" s="604">
        <v>1</v>
      </c>
      <c r="I268" s="605" t="s">
        <v>29</v>
      </c>
      <c r="J268" s="603">
        <f t="shared" si="20"/>
        <v>0.44</v>
      </c>
      <c r="K268" s="619" t="s">
        <v>455</v>
      </c>
      <c r="L268" s="648"/>
      <c r="M268" s="648"/>
      <c r="N268" s="647"/>
      <c r="O268" s="141"/>
      <c r="P268" s="150"/>
      <c r="Q268" s="141"/>
      <c r="R268" s="141"/>
      <c r="S268" s="141"/>
      <c r="T268" s="141"/>
      <c r="U268" s="149"/>
      <c r="V268" s="141"/>
      <c r="W268" s="141"/>
      <c r="X268" s="141"/>
      <c r="Y268" s="141"/>
    </row>
    <row r="269" spans="1:25" s="270" customFormat="1" ht="15">
      <c r="A269" s="619"/>
      <c r="B269" s="603"/>
      <c r="C269" s="603"/>
      <c r="D269" s="603"/>
      <c r="E269" s="603"/>
      <c r="F269" s="604"/>
      <c r="G269" s="603"/>
      <c r="H269" s="604"/>
      <c r="I269" s="605"/>
      <c r="J269" s="603"/>
      <c r="K269" s="619"/>
      <c r="L269" s="648"/>
      <c r="M269" s="648"/>
      <c r="N269" s="647"/>
      <c r="O269" s="141"/>
      <c r="P269" s="150"/>
      <c r="Q269" s="141"/>
      <c r="R269" s="141"/>
      <c r="S269" s="141"/>
      <c r="T269" s="141"/>
      <c r="U269" s="149"/>
      <c r="V269" s="141"/>
      <c r="W269" s="141"/>
      <c r="X269" s="141"/>
      <c r="Y269" s="141"/>
    </row>
    <row r="270" spans="1:25" s="270" customFormat="1" ht="15">
      <c r="A270" s="288"/>
      <c r="B270" s="732" t="s">
        <v>32</v>
      </c>
      <c r="C270" s="733">
        <f>SUM(J258:J268)</f>
        <v>67.18999999999998</v>
      </c>
      <c r="D270" s="734" t="s">
        <v>1</v>
      </c>
      <c r="E270" s="603"/>
      <c r="F270" s="603"/>
      <c r="G270" s="603"/>
      <c r="H270" s="604"/>
      <c r="I270" s="605"/>
      <c r="J270" s="603"/>
      <c r="K270" s="619"/>
      <c r="L270" s="392"/>
      <c r="M270" s="634"/>
      <c r="N270" s="647"/>
      <c r="O270" s="141"/>
      <c r="P270" s="150"/>
      <c r="Q270" s="141"/>
      <c r="R270" s="141"/>
      <c r="S270" s="141"/>
      <c r="T270" s="141"/>
      <c r="U270" s="149"/>
      <c r="V270" s="141"/>
      <c r="W270" s="141"/>
      <c r="X270" s="141"/>
      <c r="Y270" s="141"/>
    </row>
    <row r="271" spans="1:25" s="270" customFormat="1" ht="15">
      <c r="A271" s="157"/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647"/>
      <c r="M271" s="647"/>
      <c r="N271" s="647"/>
      <c r="O271" s="141"/>
      <c r="P271" s="150"/>
      <c r="Q271" s="141"/>
      <c r="R271" s="141"/>
      <c r="S271" s="141"/>
      <c r="T271" s="141"/>
      <c r="U271" s="149"/>
      <c r="V271" s="141"/>
      <c r="W271" s="141"/>
      <c r="X271" s="141"/>
      <c r="Y271" s="141"/>
    </row>
    <row r="272" spans="1:25" s="270" customFormat="1" ht="15" customHeight="1">
      <c r="A272" s="625" t="str">
        <f>'ORÇAMENTO NÃO DESONERADO'!A65</f>
        <v>5.3.2.2</v>
      </c>
      <c r="B272" s="659" t="str">
        <f>'ORÇAMENTO NÃO DESONERADO'!C65</f>
        <v>CONCRETO FCK = 20MPA, TRAÇO 1:2,7:3 (CIMENTO/ AREIA MÉDIA/ BRITA 1)  - PREPARO MECÂNICO COM BETONEIRA 400 L. AF_07/2016</v>
      </c>
      <c r="C272" s="659"/>
      <c r="D272" s="659"/>
      <c r="E272" s="659"/>
      <c r="F272" s="659"/>
      <c r="G272" s="659"/>
      <c r="H272" s="659"/>
      <c r="I272" s="659"/>
      <c r="J272" s="659"/>
      <c r="K272" s="659"/>
      <c r="L272" s="659"/>
      <c r="M272" s="659"/>
      <c r="N272" s="642"/>
      <c r="O272" s="141"/>
      <c r="P272" s="150"/>
      <c r="Q272" s="141"/>
      <c r="R272" s="141"/>
      <c r="S272" s="141"/>
      <c r="T272" s="141"/>
      <c r="U272" s="149"/>
      <c r="V272" s="141"/>
      <c r="W272" s="141"/>
      <c r="X272" s="141"/>
      <c r="Y272" s="141"/>
    </row>
    <row r="273" spans="1:25" s="270" customFormat="1" ht="15">
      <c r="A273" s="288"/>
      <c r="B273" s="385"/>
      <c r="C273" s="315"/>
      <c r="D273" s="652"/>
      <c r="E273" s="385"/>
      <c r="F273" s="392"/>
      <c r="G273" s="392"/>
      <c r="H273" s="392"/>
      <c r="I273" s="392"/>
      <c r="J273" s="392"/>
      <c r="K273" s="392"/>
      <c r="L273" s="392"/>
      <c r="M273" s="634"/>
      <c r="N273" s="141"/>
      <c r="O273" s="141"/>
      <c r="P273" s="150"/>
      <c r="Q273" s="141"/>
      <c r="R273" s="141"/>
      <c r="S273" s="141"/>
      <c r="T273" s="141"/>
      <c r="U273" s="149"/>
      <c r="V273" s="141"/>
      <c r="W273" s="141"/>
      <c r="X273" s="141"/>
      <c r="Y273" s="141"/>
    </row>
    <row r="274" spans="1:25" s="270" customFormat="1" ht="15">
      <c r="A274" s="385"/>
      <c r="B274" s="623" t="s">
        <v>500</v>
      </c>
      <c r="C274" s="623"/>
      <c r="D274" s="605"/>
      <c r="E274" s="605"/>
      <c r="F274" s="605"/>
      <c r="G274" s="605"/>
      <c r="H274" s="605"/>
      <c r="I274" s="605"/>
      <c r="J274" s="605"/>
      <c r="K274" s="605"/>
      <c r="L274" s="392"/>
      <c r="M274" s="634"/>
      <c r="N274" s="141"/>
      <c r="O274" s="141"/>
      <c r="P274" s="150"/>
      <c r="Q274" s="141"/>
      <c r="R274" s="141"/>
      <c r="S274" s="141"/>
      <c r="T274" s="141"/>
      <c r="U274" s="149"/>
      <c r="V274" s="141"/>
      <c r="W274" s="141"/>
      <c r="X274" s="141"/>
      <c r="Y274" s="141"/>
    </row>
    <row r="275" spans="1:25" s="270" customFormat="1" ht="15">
      <c r="A275" s="288"/>
      <c r="B275" s="603" t="s">
        <v>31</v>
      </c>
      <c r="C275" s="603"/>
      <c r="D275" s="603" t="s">
        <v>465</v>
      </c>
      <c r="E275" s="603"/>
      <c r="F275" s="603" t="s">
        <v>34</v>
      </c>
      <c r="G275" s="605"/>
      <c r="H275" s="603" t="s">
        <v>193</v>
      </c>
      <c r="I275" s="605"/>
      <c r="J275" s="605"/>
      <c r="K275" s="605"/>
      <c r="L275" s="392"/>
      <c r="M275" s="634"/>
      <c r="N275" s="141"/>
      <c r="O275" s="141"/>
      <c r="P275" s="150"/>
      <c r="Q275" s="141"/>
      <c r="R275" s="141"/>
      <c r="S275" s="141"/>
      <c r="T275" s="141"/>
      <c r="U275" s="149"/>
      <c r="V275" s="141"/>
      <c r="W275" s="141"/>
      <c r="X275" s="141"/>
      <c r="Y275" s="141"/>
    </row>
    <row r="276" spans="1:25" s="270" customFormat="1" ht="15">
      <c r="A276" s="619" t="s">
        <v>498</v>
      </c>
      <c r="B276" s="603">
        <f>14.02</f>
        <v>14.02</v>
      </c>
      <c r="C276" s="603" t="s">
        <v>28</v>
      </c>
      <c r="D276" s="603">
        <v>0.5</v>
      </c>
      <c r="E276" s="603" t="s">
        <v>28</v>
      </c>
      <c r="F276" s="603">
        <v>0.2</v>
      </c>
      <c r="G276" s="603" t="s">
        <v>28</v>
      </c>
      <c r="H276" s="604">
        <v>2</v>
      </c>
      <c r="I276" s="596" t="s">
        <v>29</v>
      </c>
      <c r="J276" s="603">
        <f aca="true" t="shared" si="21" ref="J276:J280">ROUND((B276*D276*F276*H276),2)</f>
        <v>2.8</v>
      </c>
      <c r="K276" s="619" t="s">
        <v>451</v>
      </c>
      <c r="L276" s="392"/>
      <c r="M276" s="634"/>
      <c r="N276" s="141"/>
      <c r="O276" s="141"/>
      <c r="P276" s="150"/>
      <c r="Q276" s="141"/>
      <c r="R276" s="141"/>
      <c r="S276" s="141"/>
      <c r="T276" s="141"/>
      <c r="U276" s="149"/>
      <c r="V276" s="141"/>
      <c r="W276" s="141"/>
      <c r="X276" s="141"/>
      <c r="Y276" s="141"/>
    </row>
    <row r="277" spans="1:25" s="270" customFormat="1" ht="15">
      <c r="A277" s="619" t="s">
        <v>498</v>
      </c>
      <c r="B277" s="603">
        <v>9.67</v>
      </c>
      <c r="C277" s="603" t="s">
        <v>28</v>
      </c>
      <c r="D277" s="603">
        <v>0.5</v>
      </c>
      <c r="E277" s="603" t="s">
        <v>28</v>
      </c>
      <c r="F277" s="603">
        <v>0.2</v>
      </c>
      <c r="G277" s="603" t="s">
        <v>28</v>
      </c>
      <c r="H277" s="604">
        <v>2</v>
      </c>
      <c r="I277" s="605" t="s">
        <v>29</v>
      </c>
      <c r="J277" s="603">
        <f t="shared" si="21"/>
        <v>1.93</v>
      </c>
      <c r="K277" s="619" t="s">
        <v>452</v>
      </c>
      <c r="L277" s="392"/>
      <c r="M277" s="634"/>
      <c r="N277" s="141"/>
      <c r="O277" s="141"/>
      <c r="P277" s="150"/>
      <c r="Q277" s="141"/>
      <c r="R277" s="141"/>
      <c r="S277" s="141"/>
      <c r="T277" s="141"/>
      <c r="U277" s="149"/>
      <c r="V277" s="141"/>
      <c r="W277" s="141"/>
      <c r="X277" s="141"/>
      <c r="Y277" s="141"/>
    </row>
    <row r="278" spans="1:25" s="270" customFormat="1" ht="15">
      <c r="A278" s="619" t="s">
        <v>498</v>
      </c>
      <c r="B278" s="603">
        <v>2.65</v>
      </c>
      <c r="C278" s="603" t="s">
        <v>28</v>
      </c>
      <c r="D278" s="603">
        <f>0.3</f>
        <v>0.3</v>
      </c>
      <c r="E278" s="603" t="s">
        <v>28</v>
      </c>
      <c r="F278" s="603">
        <v>0.15</v>
      </c>
      <c r="G278" s="603" t="s">
        <v>28</v>
      </c>
      <c r="H278" s="604">
        <v>2</v>
      </c>
      <c r="I278" s="605" t="s">
        <v>29</v>
      </c>
      <c r="J278" s="603">
        <f t="shared" si="21"/>
        <v>0.24</v>
      </c>
      <c r="K278" s="619" t="s">
        <v>453</v>
      </c>
      <c r="L278" s="392"/>
      <c r="M278" s="634"/>
      <c r="N278" s="141"/>
      <c r="O278" s="141"/>
      <c r="P278" s="150"/>
      <c r="Q278" s="141"/>
      <c r="R278" s="141"/>
      <c r="S278" s="141"/>
      <c r="T278" s="141"/>
      <c r="U278" s="149"/>
      <c r="V278" s="141"/>
      <c r="W278" s="141"/>
      <c r="X278" s="141"/>
      <c r="Y278" s="141"/>
    </row>
    <row r="279" spans="1:25" s="270" customFormat="1" ht="15">
      <c r="A279" s="619" t="s">
        <v>498</v>
      </c>
      <c r="B279" s="603">
        <f>1.63+3.28</f>
        <v>4.91</v>
      </c>
      <c r="C279" s="603" t="s">
        <v>28</v>
      </c>
      <c r="D279" s="603">
        <f>0.3</f>
        <v>0.3</v>
      </c>
      <c r="E279" s="603" t="s">
        <v>28</v>
      </c>
      <c r="F279" s="603">
        <v>0.15</v>
      </c>
      <c r="G279" s="603" t="s">
        <v>28</v>
      </c>
      <c r="H279" s="604">
        <v>1</v>
      </c>
      <c r="I279" s="605" t="s">
        <v>29</v>
      </c>
      <c r="J279" s="603">
        <f t="shared" si="21"/>
        <v>0.22</v>
      </c>
      <c r="K279" s="619" t="s">
        <v>454</v>
      </c>
      <c r="L279" s="392"/>
      <c r="M279" s="634"/>
      <c r="N279" s="141"/>
      <c r="O279" s="141"/>
      <c r="P279" s="150"/>
      <c r="Q279" s="141"/>
      <c r="R279" s="141"/>
      <c r="S279" s="141"/>
      <c r="T279" s="141"/>
      <c r="U279" s="149"/>
      <c r="V279" s="141"/>
      <c r="W279" s="141"/>
      <c r="X279" s="141"/>
      <c r="Y279" s="141"/>
    </row>
    <row r="280" spans="1:25" s="270" customFormat="1" ht="15">
      <c r="A280" s="619" t="s">
        <v>498</v>
      </c>
      <c r="B280" s="603">
        <v>2.22</v>
      </c>
      <c r="C280" s="603" t="s">
        <v>28</v>
      </c>
      <c r="D280" s="603">
        <v>0.5</v>
      </c>
      <c r="E280" s="603" t="s">
        <v>28</v>
      </c>
      <c r="F280" s="603">
        <v>0.2</v>
      </c>
      <c r="G280" s="603" t="s">
        <v>28</v>
      </c>
      <c r="H280" s="604">
        <v>1</v>
      </c>
      <c r="I280" s="605" t="s">
        <v>29</v>
      </c>
      <c r="J280" s="603">
        <f t="shared" si="21"/>
        <v>0.22</v>
      </c>
      <c r="K280" s="619" t="s">
        <v>455</v>
      </c>
      <c r="L280" s="392"/>
      <c r="M280" s="634"/>
      <c r="N280" s="141"/>
      <c r="O280" s="141"/>
      <c r="P280" s="150"/>
      <c r="Q280" s="141"/>
      <c r="R280" s="141"/>
      <c r="S280" s="141"/>
      <c r="T280" s="141"/>
      <c r="U280" s="149"/>
      <c r="V280" s="141"/>
      <c r="W280" s="141"/>
      <c r="X280" s="141"/>
      <c r="Y280" s="141"/>
    </row>
    <row r="281" spans="2:25" s="270" customFormat="1" ht="15">
      <c r="B281" s="603"/>
      <c r="C281" s="603"/>
      <c r="D281" s="603"/>
      <c r="E281" s="603"/>
      <c r="F281" s="604"/>
      <c r="G281" s="605"/>
      <c r="H281" s="605"/>
      <c r="I281" s="605"/>
      <c r="J281" s="605"/>
      <c r="K281" s="605"/>
      <c r="L281" s="392"/>
      <c r="M281" s="634"/>
      <c r="N281" s="141"/>
      <c r="O281" s="141"/>
      <c r="P281" s="150"/>
      <c r="Q281" s="141"/>
      <c r="R281" s="141"/>
      <c r="S281" s="141"/>
      <c r="T281" s="141"/>
      <c r="U281" s="149"/>
      <c r="V281" s="141"/>
      <c r="W281" s="141"/>
      <c r="X281" s="141"/>
      <c r="Y281" s="141"/>
    </row>
    <row r="282" spans="1:25" s="165" customFormat="1" ht="15">
      <c r="A282" s="270"/>
      <c r="B282" s="732" t="s">
        <v>27</v>
      </c>
      <c r="C282" s="733">
        <f>SUM(J275:J281)</f>
        <v>5.409999999999999</v>
      </c>
      <c r="D282" s="734" t="s">
        <v>1</v>
      </c>
      <c r="E282" s="605"/>
      <c r="F282" s="605"/>
      <c r="G282" s="605"/>
      <c r="H282" s="605"/>
      <c r="I282" s="605"/>
      <c r="J282" s="605"/>
      <c r="K282" s="605"/>
      <c r="L282" s="392"/>
      <c r="M282" s="634"/>
      <c r="N282" s="141"/>
      <c r="O282" s="136"/>
      <c r="P282" s="140"/>
      <c r="Q282" s="136"/>
      <c r="R282" s="136"/>
      <c r="S282" s="136"/>
      <c r="T282" s="136"/>
      <c r="U282" s="139"/>
      <c r="V282" s="136"/>
      <c r="W282" s="136"/>
      <c r="X282" s="136"/>
      <c r="Y282" s="136"/>
    </row>
    <row r="283" spans="1:25" s="270" customFormat="1" ht="15">
      <c r="A283" s="288"/>
      <c r="B283" s="385"/>
      <c r="C283" s="315"/>
      <c r="D283" s="652"/>
      <c r="E283" s="385"/>
      <c r="F283" s="392"/>
      <c r="G283" s="392"/>
      <c r="H283" s="392"/>
      <c r="I283" s="392"/>
      <c r="J283" s="392"/>
      <c r="K283" s="392"/>
      <c r="L283" s="392"/>
      <c r="M283" s="634"/>
      <c r="N283" s="141"/>
      <c r="O283" s="141"/>
      <c r="P283" s="150"/>
      <c r="Q283" s="141"/>
      <c r="R283" s="141"/>
      <c r="S283" s="141"/>
      <c r="T283" s="141"/>
      <c r="U283" s="149"/>
      <c r="V283" s="141"/>
      <c r="W283" s="141"/>
      <c r="X283" s="141"/>
      <c r="Y283" s="141"/>
    </row>
    <row r="284" spans="1:25" s="270" customFormat="1" ht="31.5" customHeight="1">
      <c r="A284" s="625" t="str">
        <f>'ORÇAMENTO NÃO DESONERADO'!A66</f>
        <v>5.3.2.3</v>
      </c>
      <c r="B284" s="1124" t="str">
        <f>'ORÇAMENTO NÃO DESONERADO'!C66</f>
        <v>ARMAÇÃO DE PILAR OU VIGA DE UMA ESTRUTURA CONVENCIONAL DE CONCRETO ARMADO EM UMA EDIFICAÇÃO TÉRREA OU SOBRADO UTILIZANDO AÇO CA-60 DE 5,0 MM - MONTAGEM. AF_12/2015</v>
      </c>
      <c r="C284" s="1124"/>
      <c r="D284" s="1124"/>
      <c r="E284" s="1124"/>
      <c r="F284" s="1124"/>
      <c r="G284" s="1124"/>
      <c r="H284" s="1124"/>
      <c r="I284" s="1124"/>
      <c r="J284" s="1124"/>
      <c r="K284" s="1124"/>
      <c r="L284" s="1124"/>
      <c r="M284" s="1124"/>
      <c r="N284" s="1124"/>
      <c r="O284" s="141"/>
      <c r="P284" s="150"/>
      <c r="Q284" s="141"/>
      <c r="R284" s="141"/>
      <c r="S284" s="141"/>
      <c r="T284" s="141"/>
      <c r="U284" s="149"/>
      <c r="V284" s="141"/>
      <c r="W284" s="141"/>
      <c r="X284" s="141"/>
      <c r="Y284" s="141"/>
    </row>
    <row r="285" spans="2:25" s="270" customFormat="1" ht="15">
      <c r="B285" s="603"/>
      <c r="C285" s="603"/>
      <c r="D285" s="603"/>
      <c r="E285" s="603"/>
      <c r="F285" s="604"/>
      <c r="G285" s="605"/>
      <c r="H285" s="605"/>
      <c r="I285" s="605"/>
      <c r="J285" s="605"/>
      <c r="K285" s="605"/>
      <c r="L285" s="392"/>
      <c r="M285" s="634"/>
      <c r="N285" s="141"/>
      <c r="O285" s="141"/>
      <c r="P285" s="150"/>
      <c r="Q285" s="141"/>
      <c r="R285" s="141"/>
      <c r="S285" s="141"/>
      <c r="T285" s="141"/>
      <c r="U285" s="149"/>
      <c r="V285" s="141"/>
      <c r="W285" s="141"/>
      <c r="X285" s="141"/>
      <c r="Y285" s="141"/>
    </row>
    <row r="286" spans="1:25" s="165" customFormat="1" ht="15">
      <c r="A286" s="270"/>
      <c r="B286" s="732" t="s">
        <v>27</v>
      </c>
      <c r="C286" s="733">
        <v>7.58</v>
      </c>
      <c r="D286" s="734" t="s">
        <v>501</v>
      </c>
      <c r="E286" s="605"/>
      <c r="F286" s="605"/>
      <c r="G286" s="605"/>
      <c r="H286" s="605"/>
      <c r="I286" s="605"/>
      <c r="J286" s="605"/>
      <c r="K286" s="605"/>
      <c r="L286" s="392"/>
      <c r="M286" s="634"/>
      <c r="N286" s="141"/>
      <c r="O286" s="136"/>
      <c r="P286" s="140"/>
      <c r="Q286" s="136"/>
      <c r="R286" s="136"/>
      <c r="S286" s="136"/>
      <c r="T286" s="136"/>
      <c r="U286" s="139"/>
      <c r="V286" s="136"/>
      <c r="W286" s="136"/>
      <c r="X286" s="136"/>
      <c r="Y286" s="136"/>
    </row>
    <row r="287" spans="1:25" s="270" customFormat="1" ht="15" customHeight="1">
      <c r="A287" s="625"/>
      <c r="B287" s="659"/>
      <c r="C287" s="659"/>
      <c r="D287" s="659"/>
      <c r="E287" s="659"/>
      <c r="F287" s="659"/>
      <c r="G287" s="659"/>
      <c r="H287" s="659"/>
      <c r="I287" s="659"/>
      <c r="J287" s="659"/>
      <c r="K287" s="659"/>
      <c r="L287" s="659"/>
      <c r="M287" s="659"/>
      <c r="N287" s="642"/>
      <c r="O287" s="141"/>
      <c r="P287" s="150"/>
      <c r="Q287" s="141"/>
      <c r="R287" s="141"/>
      <c r="S287" s="141"/>
      <c r="T287" s="141"/>
      <c r="U287" s="149"/>
      <c r="V287" s="141"/>
      <c r="W287" s="141"/>
      <c r="X287" s="141"/>
      <c r="Y287" s="141"/>
    </row>
    <row r="288" spans="1:25" s="270" customFormat="1" ht="15" customHeight="1">
      <c r="A288" s="625" t="str">
        <f>'ORÇAMENTO NÃO DESONERADO'!A67</f>
        <v>5.3.2.4</v>
      </c>
      <c r="B288" s="659" t="str">
        <f>'ORÇAMENTO NÃO DESONERADO'!C67</f>
        <v>ARMAÇÃO DE BLOCO, VIGA BALDRAME OU SAPATA UTILIZANDO AÇO CA-50 DE 6,3 MM - MONTAGEM. AF_06/2017</v>
      </c>
      <c r="C288" s="659"/>
      <c r="D288" s="659"/>
      <c r="E288" s="659"/>
      <c r="F288" s="659"/>
      <c r="G288" s="659"/>
      <c r="H288" s="659"/>
      <c r="I288" s="659"/>
      <c r="J288" s="659"/>
      <c r="K288" s="659"/>
      <c r="L288" s="659"/>
      <c r="M288" s="659"/>
      <c r="N288" s="642"/>
      <c r="O288" s="141"/>
      <c r="P288" s="150"/>
      <c r="Q288" s="141"/>
      <c r="R288" s="141"/>
      <c r="S288" s="141"/>
      <c r="T288" s="141"/>
      <c r="U288" s="149"/>
      <c r="V288" s="141"/>
      <c r="W288" s="141"/>
      <c r="X288" s="141"/>
      <c r="Y288" s="141"/>
    </row>
    <row r="289" spans="2:25" s="270" customFormat="1" ht="15">
      <c r="B289" s="603"/>
      <c r="C289" s="603"/>
      <c r="D289" s="603"/>
      <c r="E289" s="603"/>
      <c r="F289" s="604"/>
      <c r="G289" s="605"/>
      <c r="H289" s="605"/>
      <c r="I289" s="605"/>
      <c r="J289" s="605"/>
      <c r="K289" s="605"/>
      <c r="L289" s="392"/>
      <c r="M289" s="634"/>
      <c r="N289" s="141"/>
      <c r="O289" s="141"/>
      <c r="P289" s="150"/>
      <c r="Q289" s="141"/>
      <c r="R289" s="141"/>
      <c r="S289" s="141"/>
      <c r="T289" s="141"/>
      <c r="U289" s="149"/>
      <c r="V289" s="141"/>
      <c r="W289" s="141"/>
      <c r="X289" s="141"/>
      <c r="Y289" s="141"/>
    </row>
    <row r="290" spans="1:25" s="165" customFormat="1" ht="15">
      <c r="A290" s="270"/>
      <c r="B290" s="732" t="s">
        <v>27</v>
      </c>
      <c r="C290" s="733">
        <v>95.2</v>
      </c>
      <c r="D290" s="734" t="s">
        <v>501</v>
      </c>
      <c r="E290" s="605"/>
      <c r="F290" s="605"/>
      <c r="G290" s="605"/>
      <c r="H290" s="605"/>
      <c r="I290" s="605"/>
      <c r="J290" s="605"/>
      <c r="K290" s="605"/>
      <c r="L290" s="392"/>
      <c r="M290" s="634"/>
      <c r="N290" s="141"/>
      <c r="O290" s="136"/>
      <c r="P290" s="140"/>
      <c r="Q290" s="136"/>
      <c r="R290" s="136"/>
      <c r="S290" s="136"/>
      <c r="T290" s="136"/>
      <c r="U290" s="139"/>
      <c r="V290" s="136"/>
      <c r="W290" s="136"/>
      <c r="X290" s="136"/>
      <c r="Y290" s="136"/>
    </row>
    <row r="291" spans="1:25" s="270" customFormat="1" ht="15" customHeight="1">
      <c r="A291" s="625"/>
      <c r="B291" s="659"/>
      <c r="C291" s="659"/>
      <c r="D291" s="659"/>
      <c r="E291" s="659"/>
      <c r="F291" s="659"/>
      <c r="G291" s="659"/>
      <c r="H291" s="659"/>
      <c r="I291" s="659"/>
      <c r="J291" s="659"/>
      <c r="K291" s="659"/>
      <c r="L291" s="659"/>
      <c r="M291" s="659"/>
      <c r="N291" s="642"/>
      <c r="O291" s="141"/>
      <c r="P291" s="150"/>
      <c r="Q291" s="141"/>
      <c r="R291" s="141"/>
      <c r="S291" s="141"/>
      <c r="T291" s="141"/>
      <c r="U291" s="149"/>
      <c r="V291" s="141"/>
      <c r="W291" s="141"/>
      <c r="X291" s="141"/>
      <c r="Y291" s="141"/>
    </row>
    <row r="292" spans="1:25" s="270" customFormat="1" ht="31.5" customHeight="1">
      <c r="A292" s="625" t="str">
        <f>'ORÇAMENTO NÃO DESONERADO'!A68</f>
        <v>5.3.2.5</v>
      </c>
      <c r="B292" s="1124" t="str">
        <f>'ORÇAMENTO NÃO DESONERADO'!C68</f>
        <v>ARMAÇÃO DE PILAR OU VIGA DE UMA ESTRUTURA CONVENCIONAL DE CONCRETO ARMADO EM UMA EDIFICAÇÃO TÉRREA OU SOBRADO UTILIZANDO AÇO CA-50 DE 8,0 MM - MONTAGEM. AF_12/2015</v>
      </c>
      <c r="C292" s="1124"/>
      <c r="D292" s="1124"/>
      <c r="E292" s="1124"/>
      <c r="F292" s="1124"/>
      <c r="G292" s="1124"/>
      <c r="H292" s="1124"/>
      <c r="I292" s="1124"/>
      <c r="J292" s="1124"/>
      <c r="K292" s="1124"/>
      <c r="L292" s="1124"/>
      <c r="M292" s="1124"/>
      <c r="N292" s="1124"/>
      <c r="O292" s="141"/>
      <c r="P292" s="150"/>
      <c r="Q292" s="141"/>
      <c r="R292" s="141"/>
      <c r="S292" s="141"/>
      <c r="T292" s="141"/>
      <c r="U292" s="149"/>
      <c r="V292" s="141"/>
      <c r="W292" s="141"/>
      <c r="X292" s="141"/>
      <c r="Y292" s="141"/>
    </row>
    <row r="293" spans="2:25" s="270" customFormat="1" ht="15">
      <c r="B293" s="603"/>
      <c r="C293" s="603"/>
      <c r="D293" s="603"/>
      <c r="E293" s="603"/>
      <c r="F293" s="604"/>
      <c r="G293" s="605"/>
      <c r="H293" s="605"/>
      <c r="I293" s="605"/>
      <c r="J293" s="605"/>
      <c r="K293" s="605"/>
      <c r="L293" s="392"/>
      <c r="M293" s="634"/>
      <c r="N293" s="141"/>
      <c r="O293" s="141"/>
      <c r="P293" s="150"/>
      <c r="Q293" s="141"/>
      <c r="R293" s="141"/>
      <c r="S293" s="141"/>
      <c r="T293" s="141"/>
      <c r="U293" s="149"/>
      <c r="V293" s="141"/>
      <c r="W293" s="141"/>
      <c r="X293" s="141"/>
      <c r="Y293" s="141"/>
    </row>
    <row r="294" spans="1:25" s="165" customFormat="1" ht="15">
      <c r="A294" s="270"/>
      <c r="B294" s="732" t="s">
        <v>27</v>
      </c>
      <c r="C294" s="733">
        <v>68.23</v>
      </c>
      <c r="D294" s="734" t="s">
        <v>501</v>
      </c>
      <c r="E294" s="605"/>
      <c r="F294" s="605"/>
      <c r="G294" s="605"/>
      <c r="H294" s="605"/>
      <c r="I294" s="605"/>
      <c r="J294" s="605"/>
      <c r="K294" s="605"/>
      <c r="L294" s="392"/>
      <c r="M294" s="634"/>
      <c r="N294" s="141"/>
      <c r="O294" s="136"/>
      <c r="P294" s="140"/>
      <c r="Q294" s="136"/>
      <c r="R294" s="136"/>
      <c r="S294" s="136"/>
      <c r="T294" s="136"/>
      <c r="U294" s="139"/>
      <c r="V294" s="136"/>
      <c r="W294" s="136"/>
      <c r="X294" s="136"/>
      <c r="Y294" s="136"/>
    </row>
    <row r="295" spans="1:25" s="270" customFormat="1" ht="15" customHeight="1">
      <c r="A295" s="625"/>
      <c r="B295" s="659"/>
      <c r="C295" s="659"/>
      <c r="D295" s="659"/>
      <c r="E295" s="659"/>
      <c r="F295" s="659"/>
      <c r="G295" s="659"/>
      <c r="H295" s="659"/>
      <c r="I295" s="659"/>
      <c r="J295" s="659"/>
      <c r="K295" s="659"/>
      <c r="L295" s="659"/>
      <c r="M295" s="659"/>
      <c r="N295" s="642"/>
      <c r="O295" s="141"/>
      <c r="P295" s="150"/>
      <c r="Q295" s="141"/>
      <c r="R295" s="141"/>
      <c r="S295" s="141"/>
      <c r="T295" s="141"/>
      <c r="U295" s="149"/>
      <c r="V295" s="141"/>
      <c r="W295" s="141"/>
      <c r="X295" s="141"/>
      <c r="Y295" s="141"/>
    </row>
    <row r="296" spans="1:25" s="270" customFormat="1" ht="15" customHeight="1">
      <c r="A296" s="625" t="str">
        <f>'ORÇAMENTO NÃO DESONERADO'!A69</f>
        <v>5.3.2.6</v>
      </c>
      <c r="B296" s="659" t="str">
        <f>'ORÇAMENTO NÃO DESONERADO'!C69</f>
        <v>ARMAÇÃO DE BLOCO, VIGA BALDRAME OU SAPATA UTILIZANDO AÇO CA-50 DE 10 MM - MONTAGEM. AF_06/2017</v>
      </c>
      <c r="C296" s="659"/>
      <c r="D296" s="659"/>
      <c r="E296" s="659"/>
      <c r="F296" s="659"/>
      <c r="G296" s="659"/>
      <c r="H296" s="659"/>
      <c r="I296" s="659"/>
      <c r="J296" s="659"/>
      <c r="K296" s="659"/>
      <c r="L296" s="659"/>
      <c r="M296" s="659"/>
      <c r="N296" s="642"/>
      <c r="O296" s="141"/>
      <c r="P296" s="150"/>
      <c r="Q296" s="141"/>
      <c r="R296" s="141"/>
      <c r="S296" s="141"/>
      <c r="T296" s="141"/>
      <c r="U296" s="149"/>
      <c r="V296" s="141"/>
      <c r="W296" s="141"/>
      <c r="X296" s="141"/>
      <c r="Y296" s="141"/>
    </row>
    <row r="297" spans="2:25" s="270" customFormat="1" ht="15">
      <c r="B297" s="603"/>
      <c r="C297" s="603"/>
      <c r="D297" s="603"/>
      <c r="E297" s="603"/>
      <c r="F297" s="604"/>
      <c r="G297" s="605"/>
      <c r="H297" s="605"/>
      <c r="I297" s="605"/>
      <c r="J297" s="605"/>
      <c r="K297" s="605"/>
      <c r="L297" s="392"/>
      <c r="M297" s="634"/>
      <c r="N297" s="141"/>
      <c r="O297" s="141"/>
      <c r="P297" s="150"/>
      <c r="Q297" s="141"/>
      <c r="R297" s="141"/>
      <c r="S297" s="141"/>
      <c r="T297" s="141"/>
      <c r="U297" s="149"/>
      <c r="V297" s="141"/>
      <c r="W297" s="141"/>
      <c r="X297" s="141"/>
      <c r="Y297" s="141"/>
    </row>
    <row r="298" spans="1:25" s="165" customFormat="1" ht="15">
      <c r="A298" s="270"/>
      <c r="B298" s="732" t="s">
        <v>27</v>
      </c>
      <c r="C298" s="733">
        <v>72.65</v>
      </c>
      <c r="D298" s="734" t="s">
        <v>501</v>
      </c>
      <c r="E298" s="605"/>
      <c r="F298" s="605"/>
      <c r="G298" s="605"/>
      <c r="H298" s="605"/>
      <c r="I298" s="605"/>
      <c r="J298" s="605"/>
      <c r="K298" s="605"/>
      <c r="L298" s="392"/>
      <c r="M298" s="634"/>
      <c r="N298" s="141"/>
      <c r="O298" s="136"/>
      <c r="P298" s="140"/>
      <c r="Q298" s="136"/>
      <c r="R298" s="136"/>
      <c r="S298" s="136"/>
      <c r="T298" s="136"/>
      <c r="U298" s="139"/>
      <c r="V298" s="136"/>
      <c r="W298" s="136"/>
      <c r="X298" s="136"/>
      <c r="Y298" s="136"/>
    </row>
    <row r="299" spans="1:25" s="270" customFormat="1" ht="15" customHeight="1">
      <c r="A299" s="625"/>
      <c r="B299" s="659"/>
      <c r="C299" s="659"/>
      <c r="D299" s="659"/>
      <c r="E299" s="659"/>
      <c r="F299" s="659"/>
      <c r="G299" s="659"/>
      <c r="H299" s="659"/>
      <c r="I299" s="659"/>
      <c r="J299" s="659"/>
      <c r="K299" s="659"/>
      <c r="L299" s="659"/>
      <c r="M299" s="659"/>
      <c r="N299" s="642"/>
      <c r="O299" s="141"/>
      <c r="P299" s="150"/>
      <c r="Q299" s="141"/>
      <c r="R299" s="141"/>
      <c r="S299" s="141"/>
      <c r="T299" s="141"/>
      <c r="U299" s="149"/>
      <c r="V299" s="141"/>
      <c r="W299" s="141"/>
      <c r="X299" s="141"/>
      <c r="Y299" s="141"/>
    </row>
    <row r="300" spans="1:25" s="270" customFormat="1" ht="31.5" customHeight="1">
      <c r="A300" s="625" t="str">
        <f>'ORÇAMENTO NÃO DESONERADO'!A70</f>
        <v>5.3.2.6</v>
      </c>
      <c r="B300" s="1124" t="str">
        <f>'ORÇAMENTO NÃO DESONERADO'!C70</f>
        <v>ARMAÇÃO DE PILAR OU VIGA DE UMA ESTRUTURA CONVENCIONAL DE CONCRETO ARMADO EM UMA EDIFICAÇÃO TÉRREA OU SOBRADO UTILIZANDO AÇO CA-50 DE 12,5 MM - MONTAGEM. AF_12/2015</v>
      </c>
      <c r="C300" s="1124"/>
      <c r="D300" s="1124"/>
      <c r="E300" s="1124"/>
      <c r="F300" s="1124"/>
      <c r="G300" s="1124"/>
      <c r="H300" s="1124"/>
      <c r="I300" s="1124"/>
      <c r="J300" s="1124"/>
      <c r="K300" s="1124"/>
      <c r="L300" s="1124"/>
      <c r="M300" s="1124"/>
      <c r="N300" s="1124"/>
      <c r="O300" s="141"/>
      <c r="P300" s="150"/>
      <c r="Q300" s="141"/>
      <c r="R300" s="141"/>
      <c r="S300" s="141"/>
      <c r="T300" s="141"/>
      <c r="U300" s="149"/>
      <c r="V300" s="141"/>
      <c r="W300" s="141"/>
      <c r="X300" s="141"/>
      <c r="Y300" s="141"/>
    </row>
    <row r="301" spans="2:25" s="270" customFormat="1" ht="15">
      <c r="B301" s="603"/>
      <c r="C301" s="603"/>
      <c r="D301" s="603"/>
      <c r="E301" s="603"/>
      <c r="F301" s="604"/>
      <c r="G301" s="605"/>
      <c r="H301" s="605"/>
      <c r="I301" s="605"/>
      <c r="J301" s="605"/>
      <c r="K301" s="605"/>
      <c r="L301" s="392"/>
      <c r="M301" s="634"/>
      <c r="N301" s="141"/>
      <c r="O301" s="141"/>
      <c r="P301" s="150"/>
      <c r="Q301" s="141"/>
      <c r="R301" s="141"/>
      <c r="S301" s="141"/>
      <c r="T301" s="141"/>
      <c r="U301" s="149"/>
      <c r="V301" s="141"/>
      <c r="W301" s="141"/>
      <c r="X301" s="141"/>
      <c r="Y301" s="141"/>
    </row>
    <row r="302" spans="1:25" s="165" customFormat="1" ht="15">
      <c r="A302" s="270"/>
      <c r="B302" s="732" t="s">
        <v>27</v>
      </c>
      <c r="C302" s="733">
        <v>46.22</v>
      </c>
      <c r="D302" s="734" t="s">
        <v>501</v>
      </c>
      <c r="E302" s="605"/>
      <c r="F302" s="605"/>
      <c r="G302" s="605"/>
      <c r="H302" s="605"/>
      <c r="I302" s="605"/>
      <c r="J302" s="605"/>
      <c r="K302" s="605"/>
      <c r="L302" s="392"/>
      <c r="M302" s="634"/>
      <c r="N302" s="141"/>
      <c r="O302" s="136"/>
      <c r="P302" s="140"/>
      <c r="Q302" s="136"/>
      <c r="R302" s="136"/>
      <c r="S302" s="136"/>
      <c r="T302" s="136"/>
      <c r="U302" s="139"/>
      <c r="V302" s="136"/>
      <c r="W302" s="136"/>
      <c r="X302" s="136"/>
      <c r="Y302" s="136"/>
    </row>
    <row r="303" spans="1:25" s="270" customFormat="1" ht="15" customHeight="1">
      <c r="A303" s="625"/>
      <c r="B303" s="659"/>
      <c r="C303" s="659"/>
      <c r="D303" s="659"/>
      <c r="E303" s="659"/>
      <c r="F303" s="659"/>
      <c r="G303" s="659"/>
      <c r="H303" s="659"/>
      <c r="I303" s="659"/>
      <c r="J303" s="659"/>
      <c r="K303" s="659"/>
      <c r="L303" s="659"/>
      <c r="M303" s="659"/>
      <c r="N303" s="642"/>
      <c r="O303" s="141"/>
      <c r="P303" s="150"/>
      <c r="Q303" s="141"/>
      <c r="R303" s="141"/>
      <c r="S303" s="141"/>
      <c r="T303" s="141"/>
      <c r="U303" s="149"/>
      <c r="V303" s="141"/>
      <c r="W303" s="141"/>
      <c r="X303" s="141"/>
      <c r="Y303" s="141"/>
    </row>
    <row r="304" spans="1:25" s="270" customFormat="1" ht="15">
      <c r="A304" s="288" t="str">
        <f>'ORÇAMENTO NÃO DESONERADO'!A72</f>
        <v>5.4</v>
      </c>
      <c r="B304" s="384" t="str">
        <f>'ORÇAMENTO NÃO DESONERADO'!C72</f>
        <v>LAJE</v>
      </c>
      <c r="C304" s="315"/>
      <c r="D304" s="652"/>
      <c r="E304" s="385"/>
      <c r="F304" s="392"/>
      <c r="G304" s="392"/>
      <c r="H304" s="392"/>
      <c r="I304" s="392"/>
      <c r="J304" s="392"/>
      <c r="K304" s="392"/>
      <c r="L304" s="392"/>
      <c r="M304" s="634"/>
      <c r="N304" s="141"/>
      <c r="O304" s="141"/>
      <c r="P304" s="150"/>
      <c r="Q304" s="141"/>
      <c r="R304" s="141"/>
      <c r="S304" s="141"/>
      <c r="T304" s="141"/>
      <c r="U304" s="149"/>
      <c r="V304" s="141"/>
      <c r="W304" s="141"/>
      <c r="X304" s="141"/>
      <c r="Y304" s="141"/>
    </row>
    <row r="305" spans="1:25" s="270" customFormat="1" ht="15">
      <c r="A305" s="288" t="str">
        <f>'ORÇAMENTO NÃO DESONERADO'!A73</f>
        <v>5.4.1</v>
      </c>
      <c r="B305" s="1125" t="str">
        <f>'ORÇAMENTO NÃO DESONERADO'!C73</f>
        <v>LAJE PRE-MOLD BETA 12 P/3,5KN/M2 VAO 4,1M INCL VIGOTAS TIJOLOS ARMADU-RA NEGATIVA CAPEAMENTO 3CM CONCRETO 15MPA ESCORAMENTO MATERIAIS E MAO DE OBRA.</v>
      </c>
      <c r="C305" s="1125"/>
      <c r="D305" s="1125"/>
      <c r="E305" s="1125"/>
      <c r="F305" s="1125"/>
      <c r="G305" s="1125"/>
      <c r="H305" s="1125"/>
      <c r="I305" s="1125"/>
      <c r="J305" s="1125"/>
      <c r="K305" s="1125"/>
      <c r="L305" s="1125"/>
      <c r="M305" s="1125"/>
      <c r="N305" s="141"/>
      <c r="O305" s="141"/>
      <c r="P305" s="150"/>
      <c r="Q305" s="141"/>
      <c r="R305" s="141"/>
      <c r="S305" s="141"/>
      <c r="T305" s="141"/>
      <c r="U305" s="149"/>
      <c r="V305" s="141"/>
      <c r="W305" s="141"/>
      <c r="X305" s="141"/>
      <c r="Y305" s="141"/>
    </row>
    <row r="306" spans="2:25" s="270" customFormat="1" ht="15">
      <c r="B306" s="1125"/>
      <c r="C306" s="1125"/>
      <c r="D306" s="1125"/>
      <c r="E306" s="1125"/>
      <c r="F306" s="1125"/>
      <c r="G306" s="1125"/>
      <c r="H306" s="1125"/>
      <c r="I306" s="1125"/>
      <c r="J306" s="1125"/>
      <c r="K306" s="1125"/>
      <c r="L306" s="1125"/>
      <c r="M306" s="1125"/>
      <c r="N306" s="141"/>
      <c r="O306" s="141"/>
      <c r="P306" s="150"/>
      <c r="Q306" s="141"/>
      <c r="R306" s="141"/>
      <c r="S306" s="141"/>
      <c r="T306" s="141"/>
      <c r="U306" s="149"/>
      <c r="V306" s="141"/>
      <c r="W306" s="141"/>
      <c r="X306" s="141"/>
      <c r="Y306" s="141"/>
    </row>
    <row r="307" spans="2:25" s="270" customFormat="1" ht="15">
      <c r="B307" s="660"/>
      <c r="C307" s="660"/>
      <c r="D307" s="660"/>
      <c r="E307" s="660"/>
      <c r="F307" s="660"/>
      <c r="G307" s="660"/>
      <c r="H307" s="660"/>
      <c r="I307" s="660"/>
      <c r="J307" s="660"/>
      <c r="K307" s="660"/>
      <c r="L307" s="660"/>
      <c r="M307" s="660"/>
      <c r="N307" s="141"/>
      <c r="O307" s="141"/>
      <c r="P307" s="150"/>
      <c r="Q307" s="141"/>
      <c r="R307" s="141"/>
      <c r="S307" s="141"/>
      <c r="T307" s="141"/>
      <c r="U307" s="149"/>
      <c r="V307" s="141"/>
      <c r="W307" s="141"/>
      <c r="X307" s="141"/>
      <c r="Y307" s="141"/>
    </row>
    <row r="308" spans="2:25" s="270" customFormat="1" ht="15">
      <c r="B308" s="270" t="s">
        <v>375</v>
      </c>
      <c r="C308" s="315"/>
      <c r="D308" s="652"/>
      <c r="E308" s="385"/>
      <c r="F308" s="392"/>
      <c r="G308" s="392"/>
      <c r="H308" s="392"/>
      <c r="I308" s="392"/>
      <c r="J308" s="392"/>
      <c r="K308" s="392"/>
      <c r="L308" s="392"/>
      <c r="M308" s="634"/>
      <c r="N308" s="141"/>
      <c r="O308" s="141"/>
      <c r="P308" s="150"/>
      <c r="Q308" s="141"/>
      <c r="R308" s="141"/>
      <c r="S308" s="141"/>
      <c r="T308" s="141"/>
      <c r="U308" s="149"/>
      <c r="V308" s="141"/>
      <c r="W308" s="141"/>
      <c r="X308" s="141"/>
      <c r="Y308" s="141"/>
    </row>
    <row r="309" spans="3:25" s="270" customFormat="1" ht="15">
      <c r="C309" s="315"/>
      <c r="D309" s="652"/>
      <c r="E309" s="385"/>
      <c r="F309" s="392"/>
      <c r="G309" s="392"/>
      <c r="H309" s="392"/>
      <c r="I309" s="392"/>
      <c r="J309" s="392"/>
      <c r="K309" s="392"/>
      <c r="L309" s="392"/>
      <c r="M309" s="634"/>
      <c r="N309" s="141"/>
      <c r="O309" s="141"/>
      <c r="P309" s="150"/>
      <c r="Q309" s="141"/>
      <c r="R309" s="141"/>
      <c r="S309" s="141"/>
      <c r="T309" s="141"/>
      <c r="U309" s="149"/>
      <c r="V309" s="141"/>
      <c r="W309" s="141"/>
      <c r="X309" s="141"/>
      <c r="Y309" s="141"/>
    </row>
    <row r="310" spans="1:25" s="270" customFormat="1" ht="15">
      <c r="A310" s="288"/>
      <c r="B310" s="735" t="s">
        <v>143</v>
      </c>
      <c r="C310" s="735"/>
      <c r="D310" s="735" t="s">
        <v>190</v>
      </c>
      <c r="E310" s="736"/>
      <c r="F310" s="735" t="s">
        <v>165</v>
      </c>
      <c r="G310" s="736"/>
      <c r="H310" s="736"/>
      <c r="K310" s="605"/>
      <c r="L310" s="392"/>
      <c r="M310" s="634"/>
      <c r="N310" s="141"/>
      <c r="O310" s="141"/>
      <c r="P310" s="150"/>
      <c r="Q310" s="141"/>
      <c r="R310" s="141"/>
      <c r="S310" s="141"/>
      <c r="T310" s="141"/>
      <c r="U310" s="149"/>
      <c r="V310" s="141"/>
      <c r="W310" s="141"/>
      <c r="X310" s="141"/>
      <c r="Y310" s="141"/>
    </row>
    <row r="311" spans="1:16" s="270" customFormat="1" ht="15">
      <c r="A311" s="288"/>
      <c r="B311" s="735">
        <v>2.63</v>
      </c>
      <c r="C311" s="735" t="s">
        <v>28</v>
      </c>
      <c r="D311" s="735">
        <v>1.65</v>
      </c>
      <c r="E311" s="735" t="s">
        <v>28</v>
      </c>
      <c r="F311" s="737">
        <v>1</v>
      </c>
      <c r="G311" s="266" t="s">
        <v>29</v>
      </c>
      <c r="H311" s="735">
        <f>ROUND((B311*D311*F311),2)</f>
        <v>4.34</v>
      </c>
      <c r="K311" s="619"/>
      <c r="L311" s="392"/>
      <c r="M311" s="634"/>
      <c r="N311" s="141"/>
      <c r="O311" s="284"/>
      <c r="P311" s="141"/>
    </row>
    <row r="312" spans="1:16" s="270" customFormat="1" ht="15">
      <c r="A312" s="288"/>
      <c r="B312" s="735">
        <v>3.35</v>
      </c>
      <c r="C312" s="735" t="s">
        <v>28</v>
      </c>
      <c r="D312" s="735">
        <v>1.65</v>
      </c>
      <c r="E312" s="735" t="s">
        <v>28</v>
      </c>
      <c r="F312" s="737">
        <v>1</v>
      </c>
      <c r="G312" s="266" t="s">
        <v>29</v>
      </c>
      <c r="H312" s="735">
        <f>ROUND((B312*D312*F312),2)</f>
        <v>5.53</v>
      </c>
      <c r="K312" s="619"/>
      <c r="L312" s="392"/>
      <c r="M312" s="634"/>
      <c r="N312" s="141"/>
      <c r="O312" s="284"/>
      <c r="P312" s="141"/>
    </row>
    <row r="313" spans="1:16" s="270" customFormat="1" ht="15">
      <c r="A313" s="288"/>
      <c r="B313" s="385"/>
      <c r="C313" s="315"/>
      <c r="D313" s="652"/>
      <c r="E313" s="385"/>
      <c r="F313" s="392"/>
      <c r="G313" s="392"/>
      <c r="H313" s="392"/>
      <c r="I313" s="392"/>
      <c r="J313" s="392"/>
      <c r="K313" s="392"/>
      <c r="L313" s="392"/>
      <c r="M313" s="634"/>
      <c r="N313" s="141"/>
      <c r="O313" s="284"/>
      <c r="P313" s="141"/>
    </row>
    <row r="314" spans="1:16" ht="15">
      <c r="A314" s="288"/>
      <c r="B314" s="732" t="s">
        <v>27</v>
      </c>
      <c r="C314" s="733">
        <f>SUM(H310:H313)</f>
        <v>9.870000000000001</v>
      </c>
      <c r="D314" s="734" t="s">
        <v>1</v>
      </c>
      <c r="E314" s="385"/>
      <c r="F314" s="392"/>
      <c r="G314" s="392"/>
      <c r="H314" s="392"/>
      <c r="I314" s="392"/>
      <c r="J314" s="392"/>
      <c r="K314" s="392"/>
      <c r="L314" s="392"/>
      <c r="M314" s="634"/>
      <c r="N314" s="141"/>
      <c r="O314" s="146"/>
      <c r="P314" s="136"/>
    </row>
    <row r="315" spans="1:16" s="270" customFormat="1" ht="15">
      <c r="A315" s="288"/>
      <c r="B315" s="385"/>
      <c r="C315" s="315"/>
      <c r="D315" s="652"/>
      <c r="E315" s="385"/>
      <c r="F315" s="392"/>
      <c r="G315" s="392"/>
      <c r="H315" s="392"/>
      <c r="I315" s="392"/>
      <c r="J315" s="392"/>
      <c r="K315" s="392"/>
      <c r="L315" s="392"/>
      <c r="M315" s="634"/>
      <c r="N315" s="141"/>
      <c r="O315" s="284"/>
      <c r="P315" s="141"/>
    </row>
    <row r="316" spans="1:16" s="270" customFormat="1" ht="15">
      <c r="A316" s="288"/>
      <c r="B316" s="385"/>
      <c r="C316" s="315"/>
      <c r="D316" s="652"/>
      <c r="E316" s="385"/>
      <c r="F316" s="392"/>
      <c r="G316" s="392"/>
      <c r="H316" s="392"/>
      <c r="I316" s="392"/>
      <c r="J316" s="392"/>
      <c r="K316" s="392"/>
      <c r="L316" s="392"/>
      <c r="M316" s="634"/>
      <c r="N316" s="141"/>
      <c r="O316" s="284"/>
      <c r="P316" s="141"/>
    </row>
    <row r="317" spans="1:16" s="270" customFormat="1" ht="15">
      <c r="A317" s="25" t="str">
        <f>'ORÇAMENTO NÃO DESONERADO'!A76</f>
        <v>5.5.1</v>
      </c>
      <c r="B317" s="89" t="str">
        <f>'ORÇAMENTO NÃO DESONERADO'!C76</f>
        <v>ÁREA DE EMBARQUE/DESEMBARQUE</v>
      </c>
      <c r="C317" s="315"/>
      <c r="D317" s="652"/>
      <c r="E317" s="385"/>
      <c r="F317" s="392"/>
      <c r="G317" s="392"/>
      <c r="H317" s="392"/>
      <c r="I317" s="392"/>
      <c r="J317" s="392"/>
      <c r="K317" s="392"/>
      <c r="L317" s="392"/>
      <c r="M317" s="634"/>
      <c r="N317" s="141"/>
      <c r="O317" s="284"/>
      <c r="P317" s="141"/>
    </row>
    <row r="318" spans="1:16" s="270" customFormat="1" ht="46.5" customHeight="1">
      <c r="A318" s="25" t="str">
        <f>'ORÇAMENTO NÃO DESONERADO'!A77</f>
        <v>5.5.1.3</v>
      </c>
      <c r="B318" s="1092" t="str">
        <f>'ORÇAMENTO NÃO DESONERADO'!C77</f>
        <v>PILAR, PARA SUPORTE DA COBERTURA EMBARQUE/DESEMBARQUE, METALICO CIRCULAR Ø30CM, COM 4 PROLONGAMENTOS METALICOS(PILARES) DE Ø10CM E Ø6CM, FIXADO POR CHUMBADORES EM BLOCO DE CONCRETO ESTRUTURAL, COM PINTURA ANTICORROSIVA TIPO ZACÃO E ACABAMENTO EM PINTURA ESMALTE - FORNECIMENTO E INSTALAÇÃO</v>
      </c>
      <c r="C318" s="1092"/>
      <c r="D318" s="1092"/>
      <c r="E318" s="1092"/>
      <c r="F318" s="1092"/>
      <c r="G318" s="1092"/>
      <c r="H318" s="1092"/>
      <c r="I318" s="1092"/>
      <c r="J318" s="1092"/>
      <c r="K318" s="1092"/>
      <c r="L318" s="1092"/>
      <c r="M318" s="1092"/>
      <c r="N318" s="1092"/>
      <c r="O318" s="284"/>
      <c r="P318" s="141"/>
    </row>
    <row r="319" spans="2:16" ht="12.75">
      <c r="B319" s="141"/>
      <c r="C319" s="141"/>
      <c r="D319" s="141"/>
      <c r="E319" s="141"/>
      <c r="F319" s="141"/>
      <c r="G319" s="141"/>
      <c r="H319" s="141"/>
      <c r="I319" s="141"/>
      <c r="J319" s="157"/>
      <c r="K319" s="157"/>
      <c r="L319" s="157"/>
      <c r="M319" s="157"/>
      <c r="N319" s="141"/>
      <c r="O319" s="136"/>
      <c r="P319" s="136"/>
    </row>
    <row r="320" spans="2:16" ht="12.75">
      <c r="B320" s="732" t="s">
        <v>144</v>
      </c>
      <c r="C320" s="733">
        <v>4</v>
      </c>
      <c r="D320" s="734" t="s">
        <v>437</v>
      </c>
      <c r="E320" s="282"/>
      <c r="F320" s="141"/>
      <c r="G320" s="141"/>
      <c r="H320" s="141"/>
      <c r="I320" s="141"/>
      <c r="J320" s="157"/>
      <c r="K320" s="157"/>
      <c r="L320" s="157"/>
      <c r="M320" s="157"/>
      <c r="N320" s="141"/>
      <c r="O320" s="136"/>
      <c r="P320" s="136"/>
    </row>
    <row r="321" spans="1:16" s="270" customFormat="1" ht="15">
      <c r="A321" s="25"/>
      <c r="B321" s="89"/>
      <c r="C321" s="315"/>
      <c r="D321" s="652"/>
      <c r="E321" s="385"/>
      <c r="F321" s="392"/>
      <c r="G321" s="392"/>
      <c r="H321" s="392"/>
      <c r="I321" s="392"/>
      <c r="J321" s="392"/>
      <c r="K321" s="392"/>
      <c r="L321" s="392"/>
      <c r="M321" s="634"/>
      <c r="N321" s="141"/>
      <c r="O321" s="284"/>
      <c r="P321" s="141"/>
    </row>
    <row r="322" spans="1:16" s="270" customFormat="1" ht="15">
      <c r="A322" s="25" t="str">
        <f>'ORÇAMENTO NÃO DESONERADO'!A78</f>
        <v>5.5.1</v>
      </c>
      <c r="B322" s="1092" t="str">
        <f>'ORÇAMENTO NÃO DESONERADO'!C78</f>
        <v>PASSAARELA COBERTA</v>
      </c>
      <c r="C322" s="1092"/>
      <c r="D322" s="1092"/>
      <c r="E322" s="1092"/>
      <c r="F322" s="1092"/>
      <c r="G322" s="1092"/>
      <c r="H322" s="1092"/>
      <c r="I322" s="1092"/>
      <c r="J322" s="1092"/>
      <c r="K322" s="1092"/>
      <c r="L322" s="1092"/>
      <c r="M322" s="1092"/>
      <c r="N322" s="1092"/>
      <c r="O322" s="284"/>
      <c r="P322" s="141"/>
    </row>
    <row r="323" spans="1:16" s="270" customFormat="1" ht="35.25" customHeight="1">
      <c r="A323" s="25" t="str">
        <f>'ORÇAMENTO NÃO DESONERADO'!A79</f>
        <v>5.5.2.1</v>
      </c>
      <c r="B323" s="1092" t="str">
        <f>'ORÇAMENTO NÃO DESONERADO'!C79</f>
        <v>PILAR METALICO TUBULAR, DN 50MM, ESPESSURA 3,65MM, CHUMBADO EM BLOCO DE CONCRETO 20MPA NO PISO - INCLUSO MATERIAL PARA FIXAÇÃO DA VIGA E ACABAMENTO COM ZARCÃO E TINTA ESMALTE (DUAS DEMÃOS) - FONECIMENTO E INSTALAÇÃO</v>
      </c>
      <c r="C323" s="1092"/>
      <c r="D323" s="1092"/>
      <c r="E323" s="1092"/>
      <c r="F323" s="1092"/>
      <c r="G323" s="1092"/>
      <c r="H323" s="1092"/>
      <c r="I323" s="1092"/>
      <c r="J323" s="1092"/>
      <c r="K323" s="1092"/>
      <c r="L323" s="1092"/>
      <c r="M323" s="1092"/>
      <c r="N323" s="1092"/>
      <c r="O323" s="284"/>
      <c r="P323" s="141"/>
    </row>
    <row r="324" spans="1:16" ht="12.75">
      <c r="A324" s="157"/>
      <c r="B324" s="141"/>
      <c r="C324" s="141"/>
      <c r="D324" s="141"/>
      <c r="E324" s="141"/>
      <c r="F324" s="141"/>
      <c r="G324" s="141"/>
      <c r="H324" s="141"/>
      <c r="I324" s="141"/>
      <c r="J324" s="157"/>
      <c r="K324" s="157"/>
      <c r="L324" s="157"/>
      <c r="M324" s="157"/>
      <c r="N324" s="141"/>
      <c r="O324" s="136"/>
      <c r="P324" s="136"/>
    </row>
    <row r="325" spans="2:16" ht="12.75">
      <c r="B325" s="732" t="s">
        <v>144</v>
      </c>
      <c r="C325" s="733">
        <v>14</v>
      </c>
      <c r="D325" s="734" t="s">
        <v>437</v>
      </c>
      <c r="E325" s="282"/>
      <c r="F325" s="141"/>
      <c r="G325" s="141"/>
      <c r="H325" s="141"/>
      <c r="I325" s="141"/>
      <c r="J325" s="157"/>
      <c r="K325" s="157"/>
      <c r="L325" s="157"/>
      <c r="M325" s="157"/>
      <c r="N325" s="141"/>
      <c r="O325" s="136"/>
      <c r="P325" s="136"/>
    </row>
    <row r="326" spans="1:16" s="270" customFormat="1" ht="15">
      <c r="A326" s="25"/>
      <c r="B326" s="89"/>
      <c r="C326" s="315"/>
      <c r="D326" s="652"/>
      <c r="E326" s="385"/>
      <c r="F326" s="392"/>
      <c r="G326" s="392"/>
      <c r="H326" s="392"/>
      <c r="I326" s="392"/>
      <c r="J326" s="392"/>
      <c r="K326" s="392"/>
      <c r="L326" s="392"/>
      <c r="M326" s="634"/>
      <c r="N326" s="141"/>
      <c r="O326" s="284"/>
      <c r="P326" s="141"/>
    </row>
    <row r="327" spans="1:16" s="270" customFormat="1" ht="30.75" customHeight="1">
      <c r="A327" s="25" t="str">
        <f>'ORÇAMENTO NÃO DESONERADO'!A80</f>
        <v>5.5.2.2</v>
      </c>
      <c r="B327" s="1092" t="str">
        <f>'ORÇAMENTO NÃO DESONERADO'!C80</f>
        <v>VIGA METÁLICA EM PERFIL LAMINADO OU SOLDADO EM AÇO ESTRUTURAL, COM CONEXÕES PARAFUSADAS, INCLUSOS MÃO DE OBRA, TRANSPORTE E IÇAMENTO UTILIZANDO GUINDASTE - FORNECIMENTO E INSTALAÇÃO. AF_01/2020_P</v>
      </c>
      <c r="C327" s="1092"/>
      <c r="D327" s="1092"/>
      <c r="E327" s="1092"/>
      <c r="F327" s="1092"/>
      <c r="G327" s="1092"/>
      <c r="H327" s="1092"/>
      <c r="I327" s="1092"/>
      <c r="J327" s="1092"/>
      <c r="K327" s="1092"/>
      <c r="L327" s="1092"/>
      <c r="M327" s="1092"/>
      <c r="N327" s="1092"/>
      <c r="O327" s="284"/>
      <c r="P327" s="141"/>
    </row>
    <row r="328" spans="1:16" s="270" customFormat="1" ht="15">
      <c r="A328" s="25"/>
      <c r="B328" s="695"/>
      <c r="C328" s="695"/>
      <c r="D328" s="695"/>
      <c r="E328" s="695"/>
      <c r="F328" s="695"/>
      <c r="G328" s="695"/>
      <c r="H328" s="695"/>
      <c r="I328" s="695"/>
      <c r="J328" s="695"/>
      <c r="K328" s="695"/>
      <c r="L328" s="695"/>
      <c r="M328" s="695"/>
      <c r="N328" s="695"/>
      <c r="O328" s="284"/>
      <c r="P328" s="141"/>
    </row>
    <row r="329" spans="2:16" ht="12.75">
      <c r="B329" s="284"/>
      <c r="C329" s="266"/>
      <c r="D329" s="149" t="s">
        <v>66</v>
      </c>
      <c r="E329" s="285"/>
      <c r="F329" s="149" t="s">
        <v>593</v>
      </c>
      <c r="G329" s="285"/>
      <c r="H329" s="285" t="s">
        <v>71</v>
      </c>
      <c r="I329" s="266"/>
      <c r="J329" s="285" t="s">
        <v>594</v>
      </c>
      <c r="K329" s="157"/>
      <c r="L329" s="157"/>
      <c r="M329" s="157"/>
      <c r="N329" s="141"/>
      <c r="O329" s="136"/>
      <c r="P329" s="136"/>
    </row>
    <row r="330" spans="1:16" ht="12.75">
      <c r="A330" s="157"/>
      <c r="B330" s="141" t="s">
        <v>159</v>
      </c>
      <c r="C330" s="149" t="s">
        <v>29</v>
      </c>
      <c r="D330" s="149">
        <v>19.3</v>
      </c>
      <c r="E330" s="149" t="s">
        <v>28</v>
      </c>
      <c r="F330" s="153">
        <v>2</v>
      </c>
      <c r="G330" s="149" t="s">
        <v>29</v>
      </c>
      <c r="H330" s="149">
        <f>ROUND((D330*F330),2)</f>
        <v>38.6</v>
      </c>
      <c r="I330" s="266" t="s">
        <v>28</v>
      </c>
      <c r="J330" s="149">
        <f>34.27/6</f>
        <v>5.711666666666667</v>
      </c>
      <c r="K330" s="157" t="s">
        <v>29</v>
      </c>
      <c r="L330" s="149">
        <f>ROUND(H330*J330,2)</f>
        <v>220.47</v>
      </c>
      <c r="M330" s="157"/>
      <c r="N330" s="141"/>
      <c r="O330" s="136"/>
      <c r="P330" s="136"/>
    </row>
    <row r="331" spans="1:16" ht="12.75">
      <c r="A331" s="157"/>
      <c r="B331" s="141"/>
      <c r="C331" s="141"/>
      <c r="D331" s="141"/>
      <c r="E331" s="141"/>
      <c r="F331" s="141"/>
      <c r="G331" s="141"/>
      <c r="H331" s="141"/>
      <c r="I331" s="141"/>
      <c r="J331" s="157"/>
      <c r="K331" s="157"/>
      <c r="L331" s="157"/>
      <c r="M331" s="157"/>
      <c r="N331" s="141"/>
      <c r="O331" s="136"/>
      <c r="P331" s="136"/>
    </row>
    <row r="332" spans="1:16" ht="15">
      <c r="A332" s="150"/>
      <c r="B332" s="732" t="s">
        <v>144</v>
      </c>
      <c r="C332" s="733">
        <f>L330</f>
        <v>220.47</v>
      </c>
      <c r="D332" s="734" t="s">
        <v>501</v>
      </c>
      <c r="E332" s="282"/>
      <c r="F332" s="141"/>
      <c r="G332" s="141"/>
      <c r="H332" s="141"/>
      <c r="I332" s="141"/>
      <c r="J332" s="157"/>
      <c r="K332" s="157"/>
      <c r="L332" s="141"/>
      <c r="M332" s="141"/>
      <c r="N332" s="141"/>
      <c r="O332" s="136"/>
      <c r="P332" s="136"/>
    </row>
    <row r="333" spans="1:16" ht="15">
      <c r="A333" s="150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36"/>
      <c r="P333" s="136"/>
    </row>
    <row r="334" spans="1:16" ht="15" customHeight="1">
      <c r="A334" s="25" t="str">
        <f>'ORÇAMENTO NÃO DESONERADO'!A82</f>
        <v>5.6</v>
      </c>
      <c r="B334" s="89" t="str">
        <f>'ORÇAMENTO NÃO DESONERADO'!C82</f>
        <v>COBERTURA</v>
      </c>
      <c r="K334" s="157"/>
      <c r="L334" s="157"/>
      <c r="M334" s="157"/>
      <c r="N334" s="609"/>
      <c r="O334" s="136"/>
      <c r="P334" s="136"/>
    </row>
    <row r="335" spans="1:16" ht="15">
      <c r="A335" s="25" t="str">
        <f>'ORÇAMENTO NÃO DESONERADO'!A83</f>
        <v>5.6.1</v>
      </c>
      <c r="B335" s="89" t="str">
        <f>'ORÇAMENTO NÃO DESONERADO'!C83</f>
        <v>TERMINAL RODOVIARIO</v>
      </c>
      <c r="N335" s="609"/>
      <c r="O335" s="136"/>
      <c r="P335" s="136"/>
    </row>
    <row r="336" spans="1:16" ht="28.5" customHeight="1">
      <c r="A336" s="98" t="str">
        <f>'ORÇAMENTO NÃO DESONERADO'!A84</f>
        <v>5.6.1.1</v>
      </c>
      <c r="B336" s="1100" t="str">
        <f>'ORÇAMENTO NÃO DESONERADO'!C84</f>
        <v>TESOURA INTEIRA DE AÇO, SOBRE VIGA, DUAS ÁGUAS, 12,4M, COM TRELIÇAS COMPOSTAS POR PERFIL "U" 150x50x4,75MM E CANTONEIRAS 1.1/4"x4,76MM - FORNECIMENTO E INSTALAÇÃO (CONFORME PROJETO)</v>
      </c>
      <c r="C336" s="1100"/>
      <c r="D336" s="1100"/>
      <c r="E336" s="1100"/>
      <c r="F336" s="1100"/>
      <c r="G336" s="1100"/>
      <c r="H336" s="1100"/>
      <c r="I336" s="1100"/>
      <c r="J336" s="1100"/>
      <c r="K336" s="1100"/>
      <c r="L336" s="1100"/>
      <c r="M336" s="1100"/>
      <c r="N336" s="1100"/>
      <c r="O336" s="136"/>
      <c r="P336" s="136"/>
    </row>
    <row r="337" spans="1:16" ht="28.5" customHeight="1">
      <c r="A337" s="98" t="str">
        <f>'ORÇAMENTO NÃO DESONERADO'!A85</f>
        <v>5.6.1.1</v>
      </c>
      <c r="B337" s="1100" t="str">
        <f>'ORÇAMENTO NÃO DESONERADO'!C85</f>
        <v>TESOURA INTEIRA DE AÇO, SOBRE PILAR COM AUXILIO DE CANTONEIRAS EM CHAPA DE AÇO, DUAS ÁGUAS 12,4M, COMTRELIÇAS COMPOSTAS POR PERFIL U 150x50x4,75MM E CANTONEIRAS 1.1/4"x4,76MM - FORNECIMENTO E INSTALAÇÃO (CONFORME PROJETO)</v>
      </c>
      <c r="C337" s="1100"/>
      <c r="D337" s="1100"/>
      <c r="E337" s="1100"/>
      <c r="F337" s="1100"/>
      <c r="G337" s="1100"/>
      <c r="H337" s="1100"/>
      <c r="I337" s="1100"/>
      <c r="J337" s="1100"/>
      <c r="K337" s="1100"/>
      <c r="L337" s="1100"/>
      <c r="M337" s="1100"/>
      <c r="N337" s="1100"/>
      <c r="O337" s="136"/>
      <c r="P337" s="136"/>
    </row>
    <row r="338" spans="2:16" ht="12.75">
      <c r="B338" s="141"/>
      <c r="C338" s="141"/>
      <c r="D338" s="141"/>
      <c r="E338" s="141"/>
      <c r="F338" s="141"/>
      <c r="G338" s="141"/>
      <c r="H338" s="141"/>
      <c r="I338" s="141"/>
      <c r="J338" s="157"/>
      <c r="K338" s="157"/>
      <c r="L338" s="157"/>
      <c r="M338" s="157"/>
      <c r="N338" s="141"/>
      <c r="O338" s="136"/>
      <c r="P338" s="136"/>
    </row>
    <row r="339" spans="2:16" ht="12.75">
      <c r="B339" s="732" t="s">
        <v>144</v>
      </c>
      <c r="C339" s="733">
        <v>2</v>
      </c>
      <c r="D339" s="734" t="s">
        <v>437</v>
      </c>
      <c r="E339" s="282"/>
      <c r="F339" s="141"/>
      <c r="G339" s="141"/>
      <c r="H339" s="141"/>
      <c r="I339" s="141"/>
      <c r="J339" s="157"/>
      <c r="K339" s="157"/>
      <c r="L339" s="157"/>
      <c r="M339" s="157"/>
      <c r="N339" s="141"/>
      <c r="O339" s="136"/>
      <c r="P339" s="136"/>
    </row>
    <row r="340" spans="2:16" ht="12.75">
      <c r="B340" s="141"/>
      <c r="C340" s="141" t="s">
        <v>158</v>
      </c>
      <c r="D340" s="141"/>
      <c r="E340" s="141"/>
      <c r="F340" s="141"/>
      <c r="G340" s="141"/>
      <c r="H340" s="141"/>
      <c r="I340" s="141"/>
      <c r="J340" s="157"/>
      <c r="K340" s="157"/>
      <c r="L340" s="157"/>
      <c r="M340" s="157"/>
      <c r="N340" s="141"/>
      <c r="O340" s="136"/>
      <c r="P340" s="136"/>
    </row>
    <row r="341" spans="1:16" ht="30" customHeight="1">
      <c r="A341" s="98" t="str">
        <f>'ORÇAMENTO NÃO DESONERADO'!A86</f>
        <v>5.6.1.2</v>
      </c>
      <c r="B341" s="1100" t="str">
        <f>'ORÇAMENTO NÃO DESONERADO'!C86</f>
        <v>TRAMA DE AÇO COMPOSTA POR 10 PEÇAS DE PERFIL "U" ENRIJECIDO DE 150x50x4,75MM (PARA TELHADO DE 190M² P/ TELHA DE ALUMÍNIO) - CONFORME PROJETO</v>
      </c>
      <c r="C341" s="1100"/>
      <c r="D341" s="1100"/>
      <c r="E341" s="1100"/>
      <c r="F341" s="1100"/>
      <c r="G341" s="1100"/>
      <c r="H341" s="1100"/>
      <c r="I341" s="1100"/>
      <c r="J341" s="1100"/>
      <c r="K341" s="1100"/>
      <c r="L341" s="1100"/>
      <c r="M341" s="1100"/>
      <c r="N341" s="1100"/>
      <c r="O341" s="136"/>
      <c r="P341" s="136"/>
    </row>
    <row r="342" spans="2:16" ht="12.75">
      <c r="B342" s="141"/>
      <c r="C342" s="141"/>
      <c r="D342" s="141"/>
      <c r="E342" s="141"/>
      <c r="F342" s="141"/>
      <c r="G342" s="141"/>
      <c r="H342" s="141"/>
      <c r="I342" s="141"/>
      <c r="J342" s="157"/>
      <c r="K342" s="157"/>
      <c r="L342" s="157"/>
      <c r="M342" s="157"/>
      <c r="N342" s="141"/>
      <c r="O342" s="136"/>
      <c r="P342" s="136"/>
    </row>
    <row r="343" spans="2:16" ht="12.75">
      <c r="B343" s="732" t="s">
        <v>144</v>
      </c>
      <c r="C343" s="733">
        <v>1</v>
      </c>
      <c r="D343" s="734" t="s">
        <v>437</v>
      </c>
      <c r="E343" s="282"/>
      <c r="F343" s="141"/>
      <c r="G343" s="141"/>
      <c r="H343" s="141"/>
      <c r="I343" s="141"/>
      <c r="J343" s="157"/>
      <c r="K343" s="157"/>
      <c r="L343" s="157"/>
      <c r="M343" s="157"/>
      <c r="N343" s="141"/>
      <c r="O343" s="136"/>
      <c r="P343" s="136"/>
    </row>
    <row r="344" spans="2:16" ht="12.75">
      <c r="B344" s="141"/>
      <c r="C344" s="141" t="s">
        <v>158</v>
      </c>
      <c r="D344" s="141"/>
      <c r="E344" s="141"/>
      <c r="F344" s="141"/>
      <c r="G344" s="141"/>
      <c r="H344" s="141"/>
      <c r="I344" s="141"/>
      <c r="J344" s="157"/>
      <c r="K344" s="157"/>
      <c r="L344" s="157"/>
      <c r="M344" s="157"/>
      <c r="N344" s="141"/>
      <c r="O344" s="136"/>
      <c r="P344" s="136"/>
    </row>
    <row r="345" spans="1:16" ht="15" customHeight="1">
      <c r="A345" s="150" t="str">
        <f>'ORÇAMENTO NÃO DESONERADO'!A87</f>
        <v>5.6.1.3</v>
      </c>
      <c r="B345" s="369" t="str">
        <f>'ORÇAMENTO NÃO DESONERADO'!C87</f>
        <v>TELHAMENTO COM TELHA DE AÇO/ALUMÍNIO E = 0,5 MM, COM ATÉ 2 ÁGUAS, INCLUSO IÇAMENTO. AF_07/2019</v>
      </c>
      <c r="C345" s="369"/>
      <c r="D345" s="369"/>
      <c r="E345" s="369"/>
      <c r="F345" s="369"/>
      <c r="G345" s="369"/>
      <c r="H345" s="369"/>
      <c r="I345" s="369"/>
      <c r="J345" s="369"/>
      <c r="K345" s="369"/>
      <c r="L345" s="369"/>
      <c r="M345" s="369"/>
      <c r="N345" s="369"/>
      <c r="O345" s="136"/>
      <c r="P345" s="136"/>
    </row>
    <row r="346" spans="2:16" ht="12.75">
      <c r="B346" s="284"/>
      <c r="C346" s="284"/>
      <c r="D346" s="284"/>
      <c r="E346" s="284"/>
      <c r="F346" s="284"/>
      <c r="G346" s="157"/>
      <c r="H346" s="284"/>
      <c r="I346" s="284"/>
      <c r="J346" s="157"/>
      <c r="K346" s="157"/>
      <c r="L346" s="157"/>
      <c r="M346" s="157"/>
      <c r="N346" s="141"/>
      <c r="O346" s="136"/>
      <c r="P346" s="136"/>
    </row>
    <row r="347" spans="2:16" ht="12.75">
      <c r="B347" s="284"/>
      <c r="C347" s="266"/>
      <c r="D347" s="149" t="s">
        <v>34</v>
      </c>
      <c r="E347" s="285"/>
      <c r="F347" s="149" t="s">
        <v>164</v>
      </c>
      <c r="G347" s="285"/>
      <c r="H347" s="285" t="s">
        <v>71</v>
      </c>
      <c r="I347" s="266"/>
      <c r="J347" s="157"/>
      <c r="K347" s="157"/>
      <c r="L347" s="157"/>
      <c r="M347" s="157"/>
      <c r="N347" s="141"/>
      <c r="O347" s="136"/>
      <c r="P347" s="136"/>
    </row>
    <row r="348" spans="1:16" ht="12.75">
      <c r="A348" s="157"/>
      <c r="B348" s="141" t="s">
        <v>159</v>
      </c>
      <c r="C348" s="149" t="s">
        <v>29</v>
      </c>
      <c r="D348" s="149">
        <v>12.4</v>
      </c>
      <c r="E348" s="149" t="s">
        <v>28</v>
      </c>
      <c r="F348" s="153">
        <v>15.3</v>
      </c>
      <c r="G348" s="149" t="s">
        <v>29</v>
      </c>
      <c r="H348" s="149">
        <f>ROUND((D348*F348),2)</f>
        <v>189.72</v>
      </c>
      <c r="I348" s="266"/>
      <c r="J348" s="157" t="s">
        <v>535</v>
      </c>
      <c r="K348" s="157"/>
      <c r="L348" s="157"/>
      <c r="M348" s="157"/>
      <c r="N348" s="141"/>
      <c r="O348" s="136"/>
      <c r="P348" s="136"/>
    </row>
    <row r="349" spans="1:16" ht="12.75">
      <c r="A349" s="157"/>
      <c r="B349" s="141"/>
      <c r="C349" s="141"/>
      <c r="D349" s="141"/>
      <c r="E349" s="141"/>
      <c r="F349" s="141"/>
      <c r="G349" s="141"/>
      <c r="H349" s="141"/>
      <c r="I349" s="141"/>
      <c r="J349" s="157"/>
      <c r="K349" s="157"/>
      <c r="L349" s="157"/>
      <c r="M349" s="157"/>
      <c r="N349" s="141"/>
      <c r="O349" s="136"/>
      <c r="P349" s="136"/>
    </row>
    <row r="350" spans="1:16" ht="15">
      <c r="A350" s="150"/>
      <c r="B350" s="732" t="s">
        <v>144</v>
      </c>
      <c r="C350" s="733">
        <f>H348</f>
        <v>189.72</v>
      </c>
      <c r="D350" s="734" t="s">
        <v>2</v>
      </c>
      <c r="E350" s="282"/>
      <c r="F350" s="141"/>
      <c r="G350" s="141"/>
      <c r="H350" s="141"/>
      <c r="I350" s="141"/>
      <c r="J350" s="157"/>
      <c r="K350" s="157"/>
      <c r="L350" s="141"/>
      <c r="M350" s="141"/>
      <c r="N350" s="141"/>
      <c r="O350" s="136"/>
      <c r="P350" s="136"/>
    </row>
    <row r="351" spans="1:16" ht="15">
      <c r="A351" s="150"/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36"/>
      <c r="P351" s="136"/>
    </row>
    <row r="352" spans="1:16" ht="15" customHeight="1">
      <c r="A352" s="150" t="str">
        <f>'ORÇAMENTO NÃO DESONERADO'!A88</f>
        <v>5.6.1.4</v>
      </c>
      <c r="B352" s="369" t="str">
        <f>'ORÇAMENTO NÃO DESONERADO'!C88</f>
        <v>CONTRTAVENTAMENTO COM PERFIL "U" SIMPLES 102x40,1x4,57MM, FIXADO COM PARAFURO SEXTAVADO 1/2" EM CHAPA DE AÇO 4,75MM.</v>
      </c>
      <c r="C352" s="369"/>
      <c r="D352" s="369"/>
      <c r="E352" s="369"/>
      <c r="F352" s="369"/>
      <c r="G352" s="369"/>
      <c r="H352" s="369"/>
      <c r="I352" s="369"/>
      <c r="J352" s="369"/>
      <c r="K352" s="369"/>
      <c r="L352" s="369"/>
      <c r="M352" s="369"/>
      <c r="N352" s="369"/>
      <c r="O352" s="136"/>
      <c r="P352" s="136"/>
    </row>
    <row r="353" spans="2:16" ht="12.75">
      <c r="B353" s="141"/>
      <c r="C353" s="141"/>
      <c r="D353" s="141"/>
      <c r="E353" s="141"/>
      <c r="F353" s="141"/>
      <c r="G353" s="141"/>
      <c r="H353" s="141"/>
      <c r="I353" s="141"/>
      <c r="J353" s="157"/>
      <c r="K353" s="157"/>
      <c r="L353" s="157"/>
      <c r="M353" s="157"/>
      <c r="N353" s="141"/>
      <c r="O353" s="136"/>
      <c r="P353" s="136"/>
    </row>
    <row r="354" spans="2:16" ht="12.75">
      <c r="B354" s="732" t="s">
        <v>144</v>
      </c>
      <c r="C354" s="733">
        <v>3</v>
      </c>
      <c r="D354" s="734" t="s">
        <v>437</v>
      </c>
      <c r="E354" s="282"/>
      <c r="F354" s="141"/>
      <c r="G354" s="141"/>
      <c r="H354" s="141"/>
      <c r="I354" s="141"/>
      <c r="J354" s="157"/>
      <c r="K354" s="157"/>
      <c r="L354" s="157"/>
      <c r="M354" s="157"/>
      <c r="N354" s="141"/>
      <c r="O354" s="136"/>
      <c r="P354" s="136"/>
    </row>
    <row r="355" spans="2:16" ht="12.75">
      <c r="B355" s="141"/>
      <c r="C355" s="141" t="s">
        <v>158</v>
      </c>
      <c r="D355" s="141"/>
      <c r="E355" s="141"/>
      <c r="F355" s="141"/>
      <c r="G355" s="141"/>
      <c r="H355" s="141"/>
      <c r="I355" s="141"/>
      <c r="J355" s="157"/>
      <c r="K355" s="157"/>
      <c r="L355" s="157"/>
      <c r="M355" s="157"/>
      <c r="N355" s="141"/>
      <c r="O355" s="136"/>
      <c r="P355" s="136"/>
    </row>
    <row r="356" spans="1:16" ht="30.75" customHeight="1">
      <c r="A356" s="150" t="str">
        <f>'ORÇAMENTO NÃO DESONERADO'!A89</f>
        <v>5.6.1.5</v>
      </c>
      <c r="B356" s="1101" t="str">
        <f>'ORÇAMENTO NÃO DESONERADO'!C89</f>
        <v>LINHAS DE CORRENTE COM VERGALÃO DE 3/8" CA-25, COM ESTICADOR FORJADO GANCHO/OLHAL (ATE 92M DE EXTENSÃO) - FORNECIMENTO E INSTALAÇÃO</v>
      </c>
      <c r="C356" s="1101"/>
      <c r="D356" s="1101"/>
      <c r="E356" s="1101"/>
      <c r="F356" s="1101"/>
      <c r="G356" s="1101"/>
      <c r="H356" s="1101"/>
      <c r="I356" s="1101"/>
      <c r="J356" s="1101"/>
      <c r="K356" s="1101"/>
      <c r="L356" s="1101"/>
      <c r="M356" s="1101"/>
      <c r="N356" s="1101"/>
      <c r="O356" s="136"/>
      <c r="P356" s="136"/>
    </row>
    <row r="357" spans="1:16" ht="15" customHeight="1">
      <c r="A357" s="150"/>
      <c r="B357" s="369"/>
      <c r="C357" s="369"/>
      <c r="D357" s="369"/>
      <c r="E357" s="369"/>
      <c r="F357" s="369"/>
      <c r="G357" s="369"/>
      <c r="H357" s="369"/>
      <c r="I357" s="369"/>
      <c r="J357" s="369"/>
      <c r="K357" s="369"/>
      <c r="L357" s="369"/>
      <c r="M357" s="369"/>
      <c r="N357" s="369"/>
      <c r="O357" s="136"/>
      <c r="P357" s="136"/>
    </row>
    <row r="358" spans="2:16" ht="12.75">
      <c r="B358" s="732" t="s">
        <v>144</v>
      </c>
      <c r="C358" s="733">
        <v>1</v>
      </c>
      <c r="D358" s="734" t="s">
        <v>587</v>
      </c>
      <c r="E358" s="282"/>
      <c r="F358" s="141"/>
      <c r="G358" s="141"/>
      <c r="H358" s="141"/>
      <c r="I358" s="141"/>
      <c r="J358" s="157"/>
      <c r="K358" s="157"/>
      <c r="L358" s="157"/>
      <c r="M358" s="157"/>
      <c r="N358" s="141"/>
      <c r="O358" s="136"/>
      <c r="P358" s="136"/>
    </row>
    <row r="359" spans="2:16" ht="12.75">
      <c r="B359" s="141"/>
      <c r="C359" s="141" t="s">
        <v>158</v>
      </c>
      <c r="D359" s="141"/>
      <c r="E359" s="141"/>
      <c r="F359" s="141"/>
      <c r="G359" s="141"/>
      <c r="H359" s="141"/>
      <c r="I359" s="141"/>
      <c r="J359" s="157"/>
      <c r="K359" s="157"/>
      <c r="L359" s="157"/>
      <c r="M359" s="157"/>
      <c r="N359" s="141"/>
      <c r="O359" s="136"/>
      <c r="P359" s="136"/>
    </row>
    <row r="360" spans="1:16" ht="15">
      <c r="A360" s="150" t="str">
        <f>'ORÇAMENTO NÃO DESONERADO'!A90</f>
        <v>5.6.2</v>
      </c>
      <c r="B360" s="286" t="str">
        <f>'ORÇAMENTO NÃO DESONERADO'!C90</f>
        <v>DRENAGEM PLUVIAL</v>
      </c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36"/>
      <c r="P360" s="136"/>
    </row>
    <row r="361" spans="1:16" ht="15">
      <c r="A361" s="150" t="str">
        <f>'ORÇAMENTO NÃO DESONERADO'!A91</f>
        <v>5.6.2.1</v>
      </c>
      <c r="B361" s="1101" t="str">
        <f>'ORÇAMENTO NÃO DESONERADO'!C91</f>
        <v>CALHA EM CHAPA DE AÇO GALVANIZADO NÚMERO 24, DESENVOLVIMENTO DE 100 CM, INCLUSO TRANSPORTE VERTICAL. AF_07/2019</v>
      </c>
      <c r="C361" s="1101"/>
      <c r="D361" s="1101"/>
      <c r="E361" s="1101"/>
      <c r="F361" s="1101"/>
      <c r="G361" s="1101"/>
      <c r="H361" s="1101"/>
      <c r="I361" s="1101"/>
      <c r="J361" s="1101"/>
      <c r="K361" s="1101"/>
      <c r="L361" s="1101"/>
      <c r="M361" s="1101"/>
      <c r="N361" s="311"/>
      <c r="O361" s="136"/>
      <c r="P361" s="136"/>
    </row>
    <row r="362" spans="1:16" ht="15" customHeight="1">
      <c r="A362" s="150"/>
      <c r="B362" s="1101"/>
      <c r="C362" s="1101"/>
      <c r="D362" s="1101"/>
      <c r="E362" s="1101"/>
      <c r="F362" s="1101"/>
      <c r="G362" s="1101"/>
      <c r="H362" s="1101"/>
      <c r="I362" s="1101"/>
      <c r="J362" s="1101"/>
      <c r="K362" s="1101"/>
      <c r="L362" s="1101"/>
      <c r="M362" s="1101"/>
      <c r="N362" s="311"/>
      <c r="O362" s="136"/>
      <c r="P362" s="148"/>
    </row>
    <row r="363" spans="2:16" ht="15">
      <c r="B363" s="284"/>
      <c r="C363" s="284"/>
      <c r="D363" s="284"/>
      <c r="E363" s="284"/>
      <c r="F363" s="284"/>
      <c r="G363" s="157"/>
      <c r="H363" s="284"/>
      <c r="I363" s="284"/>
      <c r="J363" s="157"/>
      <c r="K363" s="157"/>
      <c r="L363" s="157"/>
      <c r="M363" s="157"/>
      <c r="N363" s="141"/>
      <c r="O363" s="136"/>
      <c r="P363" s="148"/>
    </row>
    <row r="364" spans="1:16" ht="15" customHeight="1">
      <c r="A364" s="157"/>
      <c r="B364" s="141" t="s">
        <v>284</v>
      </c>
      <c r="C364" s="149"/>
      <c r="D364" s="149"/>
      <c r="E364" s="149">
        <v>15.3</v>
      </c>
      <c r="F364" s="153" t="s">
        <v>69</v>
      </c>
      <c r="G364" s="149"/>
      <c r="H364" s="149"/>
      <c r="I364" s="266"/>
      <c r="J364" s="157"/>
      <c r="K364" s="157"/>
      <c r="L364" s="157"/>
      <c r="M364" s="157"/>
      <c r="N364" s="141"/>
      <c r="O364" s="136"/>
      <c r="P364" s="148"/>
    </row>
    <row r="365" spans="1:16" ht="12.75">
      <c r="A365" s="157"/>
      <c r="B365" s="141"/>
      <c r="C365" s="141"/>
      <c r="D365" s="141"/>
      <c r="E365" s="141"/>
      <c r="F365" s="141"/>
      <c r="G365" s="141"/>
      <c r="H365" s="141"/>
      <c r="I365" s="141"/>
      <c r="J365" s="157"/>
      <c r="K365" s="157"/>
      <c r="L365" s="157"/>
      <c r="M365" s="157"/>
      <c r="N365" s="141"/>
      <c r="O365" s="136"/>
      <c r="P365" s="136"/>
    </row>
    <row r="366" spans="1:16" ht="15">
      <c r="A366" s="150"/>
      <c r="B366" s="732" t="s">
        <v>144</v>
      </c>
      <c r="C366" s="733">
        <f>E364</f>
        <v>15.3</v>
      </c>
      <c r="D366" s="734" t="s">
        <v>70</v>
      </c>
      <c r="E366" s="282"/>
      <c r="F366" s="141"/>
      <c r="G366" s="141"/>
      <c r="H366" s="141"/>
      <c r="I366" s="141"/>
      <c r="J366" s="157"/>
      <c r="K366" s="157"/>
      <c r="L366" s="141"/>
      <c r="M366" s="141"/>
      <c r="N366" s="141"/>
      <c r="O366" s="136"/>
      <c r="P366" s="136"/>
    </row>
    <row r="367" spans="1:16" ht="15">
      <c r="A367" s="150"/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7"/>
      <c r="P367" s="147"/>
    </row>
    <row r="368" spans="1:16" ht="15">
      <c r="A368" s="150" t="str">
        <f>'ORÇAMENTO NÃO DESONERADO'!A92</f>
        <v>5.6.2.2</v>
      </c>
      <c r="B368" s="1101" t="str">
        <f>'ORÇAMENTO NÃO DESONERADO'!C92</f>
        <v>TUBO PVC, SÉRIE R, ÁGUA PLUVIAL, DN 150 MM, FORNECIDO E INSTALADO EM CONDUTORES VERTICAIS DE ÁGUAS PLUVIAIS. AF_12/2014</v>
      </c>
      <c r="C368" s="1101"/>
      <c r="D368" s="1101"/>
      <c r="E368" s="1101"/>
      <c r="F368" s="1101"/>
      <c r="G368" s="1101"/>
      <c r="H368" s="1101"/>
      <c r="I368" s="1101"/>
      <c r="J368" s="1101"/>
      <c r="K368" s="1101"/>
      <c r="L368" s="1101"/>
      <c r="M368" s="1101"/>
      <c r="N368" s="1101"/>
      <c r="O368" s="408"/>
      <c r="P368" s="408"/>
    </row>
    <row r="369" spans="1:16" ht="15">
      <c r="A369" s="150"/>
      <c r="B369" s="1101"/>
      <c r="C369" s="1101"/>
      <c r="D369" s="1101"/>
      <c r="E369" s="1101"/>
      <c r="F369" s="1101"/>
      <c r="G369" s="1101"/>
      <c r="H369" s="1101"/>
      <c r="I369" s="1101"/>
      <c r="J369" s="1101"/>
      <c r="K369" s="1101"/>
      <c r="L369" s="1101"/>
      <c r="M369" s="1101"/>
      <c r="N369" s="1101"/>
      <c r="O369" s="408"/>
      <c r="P369" s="408"/>
    </row>
    <row r="370" spans="1:16" ht="15">
      <c r="A370" s="150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408"/>
      <c r="P370" s="408"/>
    </row>
    <row r="371" spans="1:16" ht="15">
      <c r="A371" s="150"/>
      <c r="B371" s="141" t="s">
        <v>397</v>
      </c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408"/>
      <c r="P371" s="408"/>
    </row>
    <row r="372" spans="1:16" ht="15">
      <c r="A372" s="150"/>
      <c r="B372" s="149">
        <v>1.25</v>
      </c>
      <c r="C372" s="149" t="s">
        <v>93</v>
      </c>
      <c r="D372" s="149">
        <v>3.5</v>
      </c>
      <c r="E372" s="149" t="s">
        <v>93</v>
      </c>
      <c r="F372" s="149">
        <v>4.5</v>
      </c>
      <c r="G372" s="149" t="s">
        <v>93</v>
      </c>
      <c r="H372" s="149">
        <v>10.7</v>
      </c>
      <c r="I372" s="149" t="s">
        <v>29</v>
      </c>
      <c r="J372" s="149">
        <f>B372+D372+F372+H372</f>
        <v>19.95</v>
      </c>
      <c r="K372" s="141"/>
      <c r="L372" s="141"/>
      <c r="M372" s="141"/>
      <c r="N372" s="141"/>
      <c r="O372" s="408"/>
      <c r="P372" s="408"/>
    </row>
    <row r="373" spans="1:16" ht="15">
      <c r="A373" s="150"/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408"/>
      <c r="P373" s="408"/>
    </row>
    <row r="374" spans="1:16" ht="15">
      <c r="A374" s="150"/>
      <c r="B374" s="732" t="s">
        <v>144</v>
      </c>
      <c r="C374" s="733">
        <f>J372</f>
        <v>19.95</v>
      </c>
      <c r="D374" s="734" t="s">
        <v>70</v>
      </c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408"/>
      <c r="P374" s="408"/>
    </row>
    <row r="375" spans="1:16" ht="15">
      <c r="A375" s="150"/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408"/>
      <c r="P375" s="408"/>
    </row>
    <row r="376" spans="1:16" ht="33" customHeight="1">
      <c r="A376" s="150" t="str">
        <f>'ORÇAMENTO NÃO DESONERADO'!A93</f>
        <v>5.6.2.3</v>
      </c>
      <c r="B376" s="1101" t="str">
        <f>'ORÇAMENTO NÃO DESONERADO'!C93</f>
        <v>FIXAÇÃO DE CALHA METÁLICA E TUBULAÇÃO DE DESCIDA (VERTICAL E HORIZONTAL) EM PVC COM SUPORTES E BRAÇADEIRAS, INCLUSO PARAFUSOS - FORNECIMENTO E INSTAÇÃO</v>
      </c>
      <c r="C376" s="1101"/>
      <c r="D376" s="1101"/>
      <c r="E376" s="1101"/>
      <c r="F376" s="1101"/>
      <c r="G376" s="1101"/>
      <c r="H376" s="1101"/>
      <c r="I376" s="1101"/>
      <c r="J376" s="1101"/>
      <c r="K376" s="1101"/>
      <c r="L376" s="1101"/>
      <c r="M376" s="1101"/>
      <c r="N376" s="1101"/>
      <c r="O376" s="408"/>
      <c r="P376" s="408"/>
    </row>
    <row r="377" spans="1:16" ht="15">
      <c r="A377" s="150"/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693"/>
      <c r="P377" s="693"/>
    </row>
    <row r="378" spans="1:16" ht="15">
      <c r="A378" s="150"/>
      <c r="B378" s="172" t="s">
        <v>144</v>
      </c>
      <c r="C378" s="173">
        <v>1</v>
      </c>
      <c r="D378" s="174" t="s">
        <v>567</v>
      </c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693"/>
      <c r="P378" s="693"/>
    </row>
    <row r="379" spans="1:16" ht="15">
      <c r="A379" s="150"/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693"/>
      <c r="P379" s="693"/>
    </row>
    <row r="380" spans="1:16" ht="15">
      <c r="A380" s="150" t="str">
        <f>'ORÇAMENTO NÃO DESONERADO'!A94</f>
        <v>5.6.3</v>
      </c>
      <c r="B380" s="1101" t="str">
        <f>'ORÇAMENTO NÃO DESONERADO'!C94</f>
        <v>ÁREA DE EMBARQUE/DESEMBARQUE</v>
      </c>
      <c r="C380" s="1101"/>
      <c r="D380" s="1101"/>
      <c r="E380" s="1101"/>
      <c r="F380" s="1101"/>
      <c r="G380" s="1101"/>
      <c r="H380" s="1101"/>
      <c r="I380" s="1101"/>
      <c r="J380" s="1101"/>
      <c r="K380" s="1101"/>
      <c r="L380" s="1101"/>
      <c r="M380" s="1101"/>
      <c r="N380" s="1101"/>
      <c r="O380" s="610"/>
      <c r="P380" s="610"/>
    </row>
    <row r="381" spans="1:16" ht="15">
      <c r="A381" s="150" t="str">
        <f>'ORÇAMENTO NÃO DESONERADO'!A95</f>
        <v>5.6.3.1</v>
      </c>
      <c r="B381" s="1101" t="str">
        <f>'ORÇAMENTO NÃO DESONERADO'!C95</f>
        <v>TRAMA DE AÇO COMPOSTA POR PEÇAS DE PERFIL "U" SIMPLES DE 127x50x3MM E 75x40x2,65MM (PARA TELHADO DE 53M² P/ TELHA DE ALUMÍNIO) - CONFORME PROJETO</v>
      </c>
      <c r="C381" s="1101"/>
      <c r="D381" s="1101"/>
      <c r="E381" s="1101"/>
      <c r="F381" s="1101"/>
      <c r="G381" s="1101"/>
      <c r="H381" s="1101"/>
      <c r="I381" s="1101"/>
      <c r="J381" s="1101"/>
      <c r="K381" s="1101"/>
      <c r="L381" s="1101"/>
      <c r="M381" s="1101"/>
      <c r="N381" s="1101"/>
      <c r="O381" s="610"/>
      <c r="P381" s="610"/>
    </row>
    <row r="382" spans="1:16" ht="15">
      <c r="A382" s="150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693"/>
      <c r="P382" s="693"/>
    </row>
    <row r="383" spans="1:16" ht="15">
      <c r="A383" s="150"/>
      <c r="B383" s="732" t="s">
        <v>561</v>
      </c>
      <c r="C383" s="733">
        <v>1</v>
      </c>
      <c r="D383" s="734" t="s">
        <v>101</v>
      </c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693"/>
      <c r="P383" s="693"/>
    </row>
    <row r="384" spans="1:16" ht="15">
      <c r="A384" s="150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693"/>
      <c r="P384" s="693"/>
    </row>
    <row r="385" spans="1:16" ht="15" customHeight="1">
      <c r="A385" s="150" t="str">
        <f>'ORÇAMENTO NÃO DESONERADO'!A96</f>
        <v>5.6.3.2</v>
      </c>
      <c r="B385" s="1101" t="str">
        <f>'ORÇAMENTO NÃO DESONERADO'!C96</f>
        <v>TELHAMENTO COM TELHA DE AÇO/ALUMÍNIO E = 0,5 MM, COM ATÉ 2 ÁGUAS, INCLUSO IÇAMENTO. AF_07/2019</v>
      </c>
      <c r="C385" s="1101"/>
      <c r="D385" s="1101"/>
      <c r="E385" s="1101"/>
      <c r="F385" s="1101"/>
      <c r="G385" s="1101"/>
      <c r="H385" s="1101"/>
      <c r="I385" s="1101"/>
      <c r="J385" s="1101"/>
      <c r="K385" s="1101"/>
      <c r="L385" s="1101"/>
      <c r="M385" s="1101"/>
      <c r="N385" s="1101"/>
      <c r="O385" s="610"/>
      <c r="P385" s="610"/>
    </row>
    <row r="386" spans="1:16" ht="15" customHeight="1">
      <c r="A386" s="150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408"/>
      <c r="P386" s="408"/>
    </row>
    <row r="387" spans="1:16" ht="15">
      <c r="A387" s="150"/>
      <c r="B387" s="141">
        <v>15.3</v>
      </c>
      <c r="C387" s="266" t="s">
        <v>28</v>
      </c>
      <c r="D387" s="149">
        <v>3.45</v>
      </c>
      <c r="E387" s="149" t="s">
        <v>29</v>
      </c>
      <c r="F387" s="141">
        <f>ROUND(B387*D387,2)</f>
        <v>52.79</v>
      </c>
      <c r="G387" s="141"/>
      <c r="H387" s="141"/>
      <c r="I387" s="141"/>
      <c r="J387" s="141"/>
      <c r="K387" s="141"/>
      <c r="L387" s="141"/>
      <c r="M387" s="141"/>
      <c r="N387" s="141"/>
      <c r="O387" s="408"/>
      <c r="P387" s="408"/>
    </row>
    <row r="388" spans="1:16" ht="15">
      <c r="A388" s="150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408"/>
      <c r="P388" s="408"/>
    </row>
    <row r="389" spans="1:16" ht="15">
      <c r="A389" s="150"/>
      <c r="B389" s="732" t="s">
        <v>94</v>
      </c>
      <c r="C389" s="733">
        <f>F387</f>
        <v>52.79</v>
      </c>
      <c r="D389" s="734" t="s">
        <v>568</v>
      </c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408"/>
      <c r="P389" s="408"/>
    </row>
    <row r="390" spans="1:16" ht="15">
      <c r="A390" s="150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408"/>
      <c r="P390" s="408"/>
    </row>
    <row r="391" spans="1:16" ht="15" customHeight="1">
      <c r="A391" s="150" t="str">
        <f>'ORÇAMENTO NÃO DESONERADO'!A97</f>
        <v>5.6.3.3</v>
      </c>
      <c r="B391" s="1101" t="str">
        <f>'ORÇAMENTO NÃO DESONERADO'!C97</f>
        <v>LINHAS DE CORRENTE COM VERGALÃO DE 3/8" CA-25, COM ESTICADOR FORJADO GANCHO/OLHAL (ATE 47M DE EXTENSÃO) - FORNECIMENTO E INSTALAÇÃO</v>
      </c>
      <c r="C391" s="1101"/>
      <c r="D391" s="1101"/>
      <c r="E391" s="1101"/>
      <c r="F391" s="1101"/>
      <c r="G391" s="1101"/>
      <c r="H391" s="1101"/>
      <c r="I391" s="1101"/>
      <c r="J391" s="1101"/>
      <c r="K391" s="1101"/>
      <c r="L391" s="1101"/>
      <c r="M391" s="1101"/>
      <c r="N391" s="1101"/>
      <c r="O391" s="693"/>
      <c r="P391" s="693"/>
    </row>
    <row r="392" spans="1:16" ht="15" customHeight="1">
      <c r="A392" s="150"/>
      <c r="B392" s="369"/>
      <c r="C392" s="369"/>
      <c r="D392" s="369"/>
      <c r="E392" s="369"/>
      <c r="F392" s="369"/>
      <c r="G392" s="369"/>
      <c r="H392" s="369"/>
      <c r="I392" s="369"/>
      <c r="J392" s="369"/>
      <c r="K392" s="369"/>
      <c r="L392" s="369"/>
      <c r="M392" s="369"/>
      <c r="N392" s="369"/>
      <c r="O392" s="408"/>
      <c r="P392" s="408"/>
    </row>
    <row r="393" spans="1:16" ht="15">
      <c r="A393" s="150"/>
      <c r="B393" s="732" t="s">
        <v>94</v>
      </c>
      <c r="C393" s="733">
        <v>1</v>
      </c>
      <c r="D393" s="734" t="s">
        <v>587</v>
      </c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693"/>
      <c r="P393" s="693"/>
    </row>
    <row r="394" spans="1:16" ht="15">
      <c r="A394" s="150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693"/>
      <c r="P394" s="693"/>
    </row>
    <row r="395" spans="1:16" ht="15">
      <c r="A395" s="150" t="str">
        <f>'ORÇAMENTO NÃO DESONERADO'!A98</f>
        <v>5.6.4</v>
      </c>
      <c r="B395" s="286" t="str">
        <f>'ORÇAMENTO NÃO DESONERADO'!C98</f>
        <v>PASSARELA COBERTA</v>
      </c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52"/>
      <c r="P395" s="152"/>
    </row>
    <row r="396" spans="1:16" ht="15">
      <c r="A396" s="150" t="str">
        <f>'ORÇAMENTO NÃO DESONERADO'!A99</f>
        <v>5.6.4.1</v>
      </c>
      <c r="B396" s="1103" t="str">
        <f>'ORÇAMENTO NÃO DESONERADO'!C99</f>
        <v>TRAMA DE AÇO COMPOSTA POR PEÇAS DE PERFIL "U" SIMPLES DE 127x50x3MM E 75x40x2,65MM ESTRUTURADA COM BARRA CHATA 1"x3/16" (PARA TELHADO DE 80M² P/ TELHA DE ALUMÍNIO) - CONFORME PROJETO</v>
      </c>
      <c r="C396" s="1103"/>
      <c r="D396" s="1103"/>
      <c r="E396" s="1103"/>
      <c r="F396" s="1103"/>
      <c r="G396" s="1103"/>
      <c r="H396" s="1103"/>
      <c r="I396" s="1103"/>
      <c r="J396" s="1103"/>
      <c r="K396" s="1103"/>
      <c r="L396" s="1103"/>
      <c r="M396" s="1103"/>
      <c r="N396" s="1103"/>
      <c r="O396" s="152"/>
      <c r="P396" s="152"/>
    </row>
    <row r="397" spans="1:16" ht="15">
      <c r="A397" s="150"/>
      <c r="B397" s="1103"/>
      <c r="C397" s="1103"/>
      <c r="D397" s="1103"/>
      <c r="E397" s="1103"/>
      <c r="F397" s="1103"/>
      <c r="G397" s="1103"/>
      <c r="H397" s="1103"/>
      <c r="I397" s="1103"/>
      <c r="J397" s="1103"/>
      <c r="K397" s="1103"/>
      <c r="L397" s="1103"/>
      <c r="M397" s="1103"/>
      <c r="N397" s="1103"/>
      <c r="O397" s="152"/>
      <c r="P397" s="152"/>
    </row>
    <row r="398" spans="1:16" ht="15">
      <c r="A398" s="150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7"/>
      <c r="P398" s="147"/>
    </row>
    <row r="399" spans="1:14" ht="15" customHeight="1">
      <c r="A399" s="150"/>
      <c r="B399" s="732" t="s">
        <v>561</v>
      </c>
      <c r="C399" s="733">
        <v>1</v>
      </c>
      <c r="D399" s="734" t="s">
        <v>101</v>
      </c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</row>
    <row r="400" spans="1:14" ht="15">
      <c r="A400" s="150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</row>
    <row r="401" spans="1:14" ht="15">
      <c r="A401" s="150" t="str">
        <f>'ORÇAMENTO NÃO DESONERADO'!A100</f>
        <v>5.6.4.2</v>
      </c>
      <c r="B401" s="287" t="str">
        <f>'ORÇAMENTO NÃO DESONERADO'!C100</f>
        <v>TELHAMENTO COM TELHA DE AÇO/ALUMÍNIO E = 0,5 MM, COM ATÉ 2 ÁGUAS, INCLUSO IÇAMENTO. AF_07/2019</v>
      </c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</row>
    <row r="402" spans="1:14" ht="15">
      <c r="A402" s="150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</row>
    <row r="403" spans="1:14" ht="15">
      <c r="A403" s="150"/>
      <c r="B403" s="284"/>
      <c r="C403" s="266"/>
      <c r="D403" s="149" t="s">
        <v>34</v>
      </c>
      <c r="E403" s="285"/>
      <c r="F403" s="149" t="s">
        <v>164</v>
      </c>
      <c r="G403" s="285"/>
      <c r="H403" s="285" t="s">
        <v>71</v>
      </c>
      <c r="I403" s="266"/>
      <c r="J403" s="157"/>
      <c r="K403" s="141"/>
      <c r="L403" s="141"/>
      <c r="M403" s="141"/>
      <c r="N403" s="141"/>
    </row>
    <row r="404" spans="1:14" ht="15.75" customHeight="1">
      <c r="A404" s="150"/>
      <c r="B404" s="141" t="s">
        <v>159</v>
      </c>
      <c r="C404" s="149" t="s">
        <v>29</v>
      </c>
      <c r="D404" s="149">
        <v>4.15</v>
      </c>
      <c r="E404" s="149" t="s">
        <v>28</v>
      </c>
      <c r="F404" s="153">
        <v>19.3</v>
      </c>
      <c r="G404" s="149" t="s">
        <v>29</v>
      </c>
      <c r="H404" s="149">
        <f>ROUND((D404*F404),2)</f>
        <v>80.1</v>
      </c>
      <c r="I404" s="266"/>
      <c r="J404" s="157"/>
      <c r="K404" s="141"/>
      <c r="L404" s="141"/>
      <c r="M404" s="141"/>
      <c r="N404" s="141"/>
    </row>
    <row r="405" spans="1:14" ht="15.75" customHeight="1">
      <c r="A405" s="150"/>
      <c r="B405" s="141"/>
      <c r="C405" s="141"/>
      <c r="D405" s="141"/>
      <c r="E405" s="141"/>
      <c r="F405" s="149"/>
      <c r="G405" s="149"/>
      <c r="H405" s="149"/>
      <c r="I405" s="141"/>
      <c r="J405" s="157"/>
      <c r="K405" s="141"/>
      <c r="L405" s="141"/>
      <c r="M405" s="141"/>
      <c r="N405" s="141"/>
    </row>
    <row r="406" spans="1:14" ht="15">
      <c r="A406" s="150"/>
      <c r="B406" s="732" t="s">
        <v>144</v>
      </c>
      <c r="C406" s="733">
        <f>H404</f>
        <v>80.1</v>
      </c>
      <c r="D406" s="734" t="s">
        <v>2</v>
      </c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</row>
    <row r="407" spans="1:14" ht="15">
      <c r="A407" s="150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</row>
    <row r="408" spans="1:14" ht="29.25" customHeight="1">
      <c r="A408" s="150" t="str">
        <f>'ORÇAMENTO NÃO DESONERADO'!A101</f>
        <v>5.6.4.3</v>
      </c>
      <c r="B408" s="1103" t="str">
        <f>'ORÇAMENTO NÃO DESONERADO'!C101</f>
        <v>LINHAS DE CORRENTE COM VERGALÃO DE 3/8" CA-25, COM ESTICADOR FORJADO GANCHO/OLHAL (ATE 60M DE EXTENSÃO) - FORNECIMENTO E INSTALAÇÃO</v>
      </c>
      <c r="C408" s="1103"/>
      <c r="D408" s="1103"/>
      <c r="E408" s="1103"/>
      <c r="F408" s="1103"/>
      <c r="G408" s="1103"/>
      <c r="H408" s="1103"/>
      <c r="I408" s="1103"/>
      <c r="J408" s="1103"/>
      <c r="K408" s="1103"/>
      <c r="L408" s="1103"/>
      <c r="M408" s="1103"/>
      <c r="N408" s="1103"/>
    </row>
    <row r="409" spans="1:16" ht="15" customHeight="1">
      <c r="A409" s="150"/>
      <c r="B409" s="369"/>
      <c r="C409" s="369"/>
      <c r="D409" s="369"/>
      <c r="E409" s="369"/>
      <c r="F409" s="369"/>
      <c r="G409" s="369"/>
      <c r="H409" s="369"/>
      <c r="I409" s="369"/>
      <c r="J409" s="369"/>
      <c r="K409" s="369"/>
      <c r="L409" s="369"/>
      <c r="M409" s="369"/>
      <c r="N409" s="369"/>
      <c r="O409" s="693"/>
      <c r="P409" s="693"/>
    </row>
    <row r="410" spans="1:16" ht="15">
      <c r="A410" s="150"/>
      <c r="B410" s="732" t="s">
        <v>94</v>
      </c>
      <c r="C410" s="733">
        <v>1</v>
      </c>
      <c r="D410" s="734" t="s">
        <v>587</v>
      </c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693"/>
      <c r="P410" s="693"/>
    </row>
    <row r="411" spans="1:16" ht="15">
      <c r="A411" s="150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693"/>
      <c r="P411" s="693"/>
    </row>
    <row r="412" spans="1:14" s="270" customFormat="1" ht="15">
      <c r="A412" s="661" t="str">
        <f>'ORÇAMENTO NÃO DESONERADO'!A103</f>
        <v>5.7</v>
      </c>
      <c r="B412" s="406" t="str">
        <f>'ORÇAMENTO NÃO DESONERADO'!C103</f>
        <v>ALVENARIA</v>
      </c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284"/>
    </row>
    <row r="413" spans="1:16" s="270" customFormat="1" ht="15" customHeight="1">
      <c r="A413" s="661" t="str">
        <f>'ORÇAMENTO NÃO DESONERADO'!A104</f>
        <v>5.7.1</v>
      </c>
      <c r="B413" s="1099" t="str">
        <f>'ORÇAMENTO NÃO DESONERADO'!C104</f>
        <v>ALVENARIA DE VEDAÇÃO DE BLOCOS CERÂMICOS FURADOS NA HORIZONTAL DE 9X19X19CM (ESPESSURA 9CM) DE PAREDES COM ÁREA LÍQUIDA MAIOR OU IGUAL A 6M²</v>
      </c>
      <c r="C413" s="1099"/>
      <c r="D413" s="1099"/>
      <c r="E413" s="1099"/>
      <c r="F413" s="1099"/>
      <c r="G413" s="1099"/>
      <c r="H413" s="1099"/>
      <c r="I413" s="1099"/>
      <c r="J413" s="1099"/>
      <c r="K413" s="1099"/>
      <c r="L413" s="1099"/>
      <c r="M413" s="1099"/>
      <c r="N413" s="647"/>
      <c r="O413" s="141"/>
      <c r="P413" s="141"/>
    </row>
    <row r="414" spans="1:16" s="270" customFormat="1" ht="15" customHeight="1">
      <c r="A414" s="661"/>
      <c r="B414" s="1099"/>
      <c r="C414" s="1099"/>
      <c r="D414" s="1099"/>
      <c r="E414" s="1099"/>
      <c r="F414" s="1099"/>
      <c r="G414" s="1099"/>
      <c r="H414" s="1099"/>
      <c r="I414" s="1099"/>
      <c r="J414" s="1099"/>
      <c r="K414" s="1099"/>
      <c r="L414" s="1099"/>
      <c r="M414" s="1099"/>
      <c r="N414" s="647"/>
      <c r="O414" s="141"/>
      <c r="P414" s="141"/>
    </row>
    <row r="415" spans="1:16" s="270" customFormat="1" ht="12.75">
      <c r="A415" s="157"/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284"/>
      <c r="O415" s="141"/>
      <c r="P415" s="141"/>
    </row>
    <row r="416" spans="1:16" s="270" customFormat="1" ht="12.75">
      <c r="A416" s="157"/>
      <c r="B416" s="717" t="s">
        <v>283</v>
      </c>
      <c r="C416" s="718"/>
      <c r="D416" s="718"/>
      <c r="E416" s="719"/>
      <c r="F416" s="307"/>
      <c r="H416" s="722" t="s">
        <v>178</v>
      </c>
      <c r="I416" s="711"/>
      <c r="J416" s="711"/>
      <c r="K416" s="712"/>
      <c r="L416" s="141"/>
      <c r="M416" s="141"/>
      <c r="N416" s="284"/>
      <c r="O416" s="141"/>
      <c r="P416" s="141"/>
    </row>
    <row r="417" spans="1:16" s="270" customFormat="1" ht="12.75">
      <c r="A417" s="157"/>
      <c r="B417" s="317" t="s">
        <v>12</v>
      </c>
      <c r="C417" s="317" t="s">
        <v>176</v>
      </c>
      <c r="D417" s="317" t="s">
        <v>88</v>
      </c>
      <c r="E417" s="390" t="s">
        <v>177</v>
      </c>
      <c r="F417" s="307"/>
      <c r="H417" s="317" t="s">
        <v>12</v>
      </c>
      <c r="I417" s="317" t="s">
        <v>179</v>
      </c>
      <c r="J417" s="317" t="s">
        <v>88</v>
      </c>
      <c r="K417" s="312" t="s">
        <v>177</v>
      </c>
      <c r="L417" s="141"/>
      <c r="M417" s="141"/>
      <c r="N417" s="284"/>
      <c r="O417" s="141"/>
      <c r="P417" s="141"/>
    </row>
    <row r="418" spans="2:16" ht="12.75">
      <c r="B418" s="278">
        <v>1</v>
      </c>
      <c r="C418" s="279">
        <f>2.35</f>
        <v>2.35</v>
      </c>
      <c r="D418" s="279">
        <v>3.1</v>
      </c>
      <c r="E418" s="279">
        <f aca="true" t="shared" si="22" ref="E418:E424">SUM(C418*D418)</f>
        <v>7.285</v>
      </c>
      <c r="F418" s="290"/>
      <c r="H418" s="708">
        <v>1</v>
      </c>
      <c r="I418" s="713">
        <v>0.703</v>
      </c>
      <c r="J418" s="713">
        <v>2.1</v>
      </c>
      <c r="K418" s="713">
        <f>ROUND((I418*J418),2)</f>
        <v>1.48</v>
      </c>
      <c r="L418" s="141"/>
      <c r="M418" s="141"/>
      <c r="N418" s="284"/>
      <c r="O418" s="136"/>
      <c r="P418" s="136"/>
    </row>
    <row r="419" spans="2:16" ht="12.75">
      <c r="B419" s="708">
        <v>1</v>
      </c>
      <c r="C419" s="713">
        <f>1.45</f>
        <v>1.45</v>
      </c>
      <c r="D419" s="713">
        <v>3.1</v>
      </c>
      <c r="E419" s="713">
        <f t="shared" si="22"/>
        <v>4.495</v>
      </c>
      <c r="F419" s="290"/>
      <c r="H419" s="297">
        <v>2</v>
      </c>
      <c r="I419" s="714">
        <v>0.7</v>
      </c>
      <c r="J419" s="714">
        <v>2.1</v>
      </c>
      <c r="K419" s="713">
        <f>ROUND((I419*J419),2)</f>
        <v>1.47</v>
      </c>
      <c r="L419" s="141"/>
      <c r="M419" s="141"/>
      <c r="N419" s="284"/>
      <c r="O419" s="136"/>
      <c r="P419" s="136"/>
    </row>
    <row r="420" spans="2:16" ht="12.75">
      <c r="B420" s="708">
        <v>1</v>
      </c>
      <c r="C420" s="713">
        <f>3.05</f>
        <v>3.05</v>
      </c>
      <c r="D420" s="713">
        <v>3.1</v>
      </c>
      <c r="E420" s="713">
        <f t="shared" si="22"/>
        <v>9.455</v>
      </c>
      <c r="F420" s="290"/>
      <c r="H420" s="289" t="s">
        <v>18</v>
      </c>
      <c r="I420" s="298"/>
      <c r="J420" s="329"/>
      <c r="K420" s="329">
        <f>SUM(K418:K419)</f>
        <v>2.95</v>
      </c>
      <c r="L420" s="141"/>
      <c r="M420" s="141"/>
      <c r="N420" s="284"/>
      <c r="O420" s="136"/>
      <c r="P420" s="136"/>
    </row>
    <row r="421" spans="2:16" ht="12.75">
      <c r="B421" s="708">
        <v>1</v>
      </c>
      <c r="C421" s="713">
        <f>2.4</f>
        <v>2.4</v>
      </c>
      <c r="D421" s="713">
        <v>3.1</v>
      </c>
      <c r="E421" s="713">
        <f t="shared" si="22"/>
        <v>7.4399999999999995</v>
      </c>
      <c r="F421" s="290"/>
      <c r="H421" s="723" t="s">
        <v>180</v>
      </c>
      <c r="I421" s="715"/>
      <c r="J421" s="715"/>
      <c r="K421" s="716"/>
      <c r="L421" s="141"/>
      <c r="M421" s="141"/>
      <c r="N421" s="284"/>
      <c r="O421" s="136"/>
      <c r="P421" s="136"/>
    </row>
    <row r="422" spans="2:16" ht="12.75">
      <c r="B422" s="708">
        <v>1</v>
      </c>
      <c r="C422" s="713">
        <f>3.2</f>
        <v>3.2</v>
      </c>
      <c r="D422" s="713">
        <v>3.1</v>
      </c>
      <c r="E422" s="713">
        <f t="shared" si="22"/>
        <v>9.920000000000002</v>
      </c>
      <c r="F422" s="290"/>
      <c r="H422" s="328" t="s">
        <v>12</v>
      </c>
      <c r="I422" s="328" t="s">
        <v>179</v>
      </c>
      <c r="J422" s="328" t="s">
        <v>88</v>
      </c>
      <c r="K422" s="328" t="s">
        <v>177</v>
      </c>
      <c r="L422" s="141"/>
      <c r="M422" s="141"/>
      <c r="N422" s="284"/>
      <c r="O422" s="136"/>
      <c r="P422" s="136"/>
    </row>
    <row r="423" spans="2:16" ht="12.75">
      <c r="B423" s="708">
        <v>1</v>
      </c>
      <c r="C423" s="713">
        <f>1.5</f>
        <v>1.5</v>
      </c>
      <c r="D423" s="713">
        <v>3.1</v>
      </c>
      <c r="E423" s="713">
        <f t="shared" si="22"/>
        <v>4.65</v>
      </c>
      <c r="F423" s="720" t="s">
        <v>505</v>
      </c>
      <c r="H423" s="294">
        <v>1</v>
      </c>
      <c r="I423" s="328">
        <v>0.8</v>
      </c>
      <c r="J423" s="328">
        <v>0.4</v>
      </c>
      <c r="K423" s="713">
        <f>ROUND((I423*J423),2)</f>
        <v>0.32</v>
      </c>
      <c r="L423" s="141"/>
      <c r="M423" s="141"/>
      <c r="N423" s="284"/>
      <c r="O423" s="136"/>
      <c r="P423" s="136"/>
    </row>
    <row r="424" spans="2:16" ht="12.75">
      <c r="B424" s="708">
        <v>1</v>
      </c>
      <c r="C424" s="713">
        <f>2.45</f>
        <v>2.45</v>
      </c>
      <c r="D424" s="713">
        <v>3.1</v>
      </c>
      <c r="E424" s="713">
        <f t="shared" si="22"/>
        <v>7.595000000000001</v>
      </c>
      <c r="F424" s="290"/>
      <c r="H424" s="294">
        <v>2</v>
      </c>
      <c r="I424" s="215">
        <v>2.8</v>
      </c>
      <c r="J424" s="215">
        <v>0.6</v>
      </c>
      <c r="K424" s="279">
        <f>ROUND((I424*J424),2)</f>
        <v>1.68</v>
      </c>
      <c r="L424" s="141"/>
      <c r="M424" s="141"/>
      <c r="N424" s="284"/>
      <c r="O424" s="136"/>
      <c r="P424" s="136"/>
    </row>
    <row r="425" spans="2:16" ht="15">
      <c r="B425" s="304" t="s">
        <v>18</v>
      </c>
      <c r="C425" s="305"/>
      <c r="D425" s="306"/>
      <c r="E425" s="296">
        <f>SUM(E418:E424)</f>
        <v>50.839999999999996</v>
      </c>
      <c r="F425" s="290"/>
      <c r="H425" s="300">
        <v>3</v>
      </c>
      <c r="I425" s="301">
        <v>2.8</v>
      </c>
      <c r="J425" s="301">
        <v>1.2</v>
      </c>
      <c r="K425" s="279">
        <f>ROUND((I425*J425),2)</f>
        <v>3.36</v>
      </c>
      <c r="L425" s="141"/>
      <c r="M425" s="141"/>
      <c r="N425" s="157"/>
      <c r="O425" s="148"/>
      <c r="P425" s="148"/>
    </row>
    <row r="426" spans="2:16" ht="15" customHeight="1">
      <c r="B426" s="276"/>
      <c r="C426" s="291"/>
      <c r="D426" s="291"/>
      <c r="E426" s="291"/>
      <c r="F426" s="290"/>
      <c r="H426" s="302" t="s">
        <v>18</v>
      </c>
      <c r="I426" s="303"/>
      <c r="J426" s="299"/>
      <c r="K426" s="299">
        <f>SUM(K423:K425)</f>
        <v>5.359999999999999</v>
      </c>
      <c r="L426" s="141"/>
      <c r="M426" s="141"/>
      <c r="N426" s="157"/>
      <c r="O426" s="148"/>
      <c r="P426" s="148"/>
    </row>
    <row r="427" spans="1:16" ht="15">
      <c r="A427" s="157"/>
      <c r="B427" s="721" t="s">
        <v>158</v>
      </c>
      <c r="C427" s="713"/>
      <c r="D427" s="713"/>
      <c r="E427" s="713"/>
      <c r="F427" s="720"/>
      <c r="K427" s="309"/>
      <c r="L427" s="284"/>
      <c r="M427" s="141"/>
      <c r="N427" s="710"/>
      <c r="O427" s="136"/>
      <c r="P427" s="136"/>
    </row>
    <row r="428" spans="1:16" ht="12.75">
      <c r="A428" s="157"/>
      <c r="B428" s="328" t="s">
        <v>12</v>
      </c>
      <c r="C428" s="328" t="s">
        <v>176</v>
      </c>
      <c r="D428" s="328" t="s">
        <v>88</v>
      </c>
      <c r="E428" s="169" t="s">
        <v>177</v>
      </c>
      <c r="F428" s="290"/>
      <c r="K428" s="309"/>
      <c r="L428" s="284"/>
      <c r="M428" s="141"/>
      <c r="N428" s="157"/>
      <c r="O428" s="136"/>
      <c r="P428" s="136"/>
    </row>
    <row r="429" spans="1:16" ht="12.75">
      <c r="A429" s="157"/>
      <c r="B429" s="708" t="s">
        <v>630</v>
      </c>
      <c r="C429" s="713">
        <v>1.12</v>
      </c>
      <c r="D429" s="713">
        <v>3</v>
      </c>
      <c r="E429" s="713">
        <v>3.1</v>
      </c>
      <c r="F429" s="290"/>
      <c r="M429" s="141"/>
      <c r="N429" s="157"/>
      <c r="O429" s="136"/>
      <c r="P429" s="136"/>
    </row>
    <row r="430" spans="1:16" ht="15">
      <c r="A430" s="157"/>
      <c r="B430" s="708" t="s">
        <v>626</v>
      </c>
      <c r="C430" s="713">
        <v>1.18</v>
      </c>
      <c r="D430" s="713">
        <v>3</v>
      </c>
      <c r="E430" s="713">
        <v>3.1</v>
      </c>
      <c r="F430" s="290"/>
      <c r="M430" s="709"/>
      <c r="N430" s="157"/>
      <c r="O430" s="136"/>
      <c r="P430" s="136"/>
    </row>
    <row r="431" spans="1:16" ht="15">
      <c r="A431" s="150"/>
      <c r="B431" s="304" t="s">
        <v>18</v>
      </c>
      <c r="C431" s="305"/>
      <c r="D431" s="306"/>
      <c r="E431" s="329">
        <f>SUM(E429:E430)</f>
        <v>6.2</v>
      </c>
      <c r="F431" s="290"/>
      <c r="G431" s="295"/>
      <c r="H431" s="295"/>
      <c r="M431" s="284"/>
      <c r="N431" s="141"/>
      <c r="O431" s="136"/>
      <c r="P431" s="136"/>
    </row>
    <row r="432" spans="1:16" ht="15">
      <c r="A432" s="150"/>
      <c r="B432" s="290"/>
      <c r="C432" s="290"/>
      <c r="D432" s="290"/>
      <c r="E432" s="290"/>
      <c r="F432" s="290"/>
      <c r="G432" s="290"/>
      <c r="H432" s="290"/>
      <c r="M432" s="284"/>
      <c r="N432" s="141"/>
      <c r="O432" s="136"/>
      <c r="P432" s="136"/>
    </row>
    <row r="433" spans="2:16" ht="15">
      <c r="B433" s="721" t="s">
        <v>622</v>
      </c>
      <c r="C433" s="713"/>
      <c r="D433" s="713"/>
      <c r="E433" s="713"/>
      <c r="F433" s="720"/>
      <c r="K433" s="309"/>
      <c r="L433" s="284"/>
      <c r="M433" s="141"/>
      <c r="N433" s="310"/>
      <c r="O433" s="136"/>
      <c r="P433" s="136"/>
    </row>
    <row r="434" spans="2:16" ht="12.75">
      <c r="B434" s="328" t="s">
        <v>12</v>
      </c>
      <c r="C434" s="328" t="s">
        <v>176</v>
      </c>
      <c r="D434" s="328" t="s">
        <v>88</v>
      </c>
      <c r="E434" s="169" t="s">
        <v>177</v>
      </c>
      <c r="F434" s="290"/>
      <c r="K434" s="309"/>
      <c r="L434" s="284"/>
      <c r="M434" s="141"/>
      <c r="N434" s="157"/>
      <c r="O434" s="136"/>
      <c r="P434" s="136"/>
    </row>
    <row r="435" spans="1:16" ht="12.75">
      <c r="A435" s="157"/>
      <c r="B435" s="708" t="s">
        <v>625</v>
      </c>
      <c r="C435" s="713">
        <v>1.62</v>
      </c>
      <c r="D435" s="713">
        <v>0.8</v>
      </c>
      <c r="E435" s="713">
        <f>ROUND((C435*D435),2)</f>
        <v>1.3</v>
      </c>
      <c r="F435" s="290"/>
      <c r="M435" s="141"/>
      <c r="N435" s="157"/>
      <c r="O435" s="136"/>
      <c r="P435" s="136"/>
    </row>
    <row r="436" spans="1:16" ht="15">
      <c r="A436" s="157"/>
      <c r="B436" s="708" t="s">
        <v>625</v>
      </c>
      <c r="C436" s="713">
        <v>3.05</v>
      </c>
      <c r="D436" s="713">
        <v>0.8</v>
      </c>
      <c r="E436" s="713">
        <f aca="true" t="shared" si="23" ref="E436:E440">ROUND((C436*D436),2)</f>
        <v>2.44</v>
      </c>
      <c r="F436" s="290"/>
      <c r="M436" s="283"/>
      <c r="N436" s="157"/>
      <c r="O436" s="136"/>
      <c r="P436" s="136"/>
    </row>
    <row r="437" spans="1:16" ht="15" customHeight="1">
      <c r="A437" s="157"/>
      <c r="B437" s="708" t="s">
        <v>626</v>
      </c>
      <c r="C437" s="713">
        <v>2.29</v>
      </c>
      <c r="D437" s="713">
        <v>0.8</v>
      </c>
      <c r="E437" s="713">
        <f t="shared" si="23"/>
        <v>1.83</v>
      </c>
      <c r="F437" s="290"/>
      <c r="M437" s="283"/>
      <c r="N437" s="157"/>
      <c r="O437" s="148"/>
      <c r="P437" s="148"/>
    </row>
    <row r="438" spans="1:16" ht="12.75">
      <c r="A438" s="157"/>
      <c r="B438" s="708" t="s">
        <v>627</v>
      </c>
      <c r="C438" s="713">
        <v>1.62</v>
      </c>
      <c r="D438" s="713">
        <v>0.8</v>
      </c>
      <c r="E438" s="713">
        <f t="shared" si="23"/>
        <v>1.3</v>
      </c>
      <c r="F438" s="290"/>
      <c r="M438" s="284"/>
      <c r="N438" s="157"/>
      <c r="O438" s="136"/>
      <c r="P438" s="136"/>
    </row>
    <row r="439" spans="1:16" ht="12.75">
      <c r="A439" s="157"/>
      <c r="B439" s="708" t="s">
        <v>627</v>
      </c>
      <c r="C439" s="713">
        <v>3.2</v>
      </c>
      <c r="D439" s="713">
        <v>0.8</v>
      </c>
      <c r="E439" s="713">
        <f t="shared" si="23"/>
        <v>2.56</v>
      </c>
      <c r="F439" s="290"/>
      <c r="M439" s="284"/>
      <c r="N439" s="141"/>
      <c r="O439" s="136"/>
      <c r="P439" s="136"/>
    </row>
    <row r="440" spans="1:16" ht="12.75">
      <c r="A440" s="157"/>
      <c r="B440" s="708" t="s">
        <v>627</v>
      </c>
      <c r="C440" s="713">
        <v>4.55</v>
      </c>
      <c r="D440" s="713">
        <v>0.8</v>
      </c>
      <c r="E440" s="713">
        <f t="shared" si="23"/>
        <v>3.64</v>
      </c>
      <c r="F440" s="290"/>
      <c r="G440" s="293"/>
      <c r="H440" s="292"/>
      <c r="M440" s="284"/>
      <c r="N440" s="141"/>
      <c r="O440" s="136"/>
      <c r="P440" s="136"/>
    </row>
    <row r="441" spans="1:16" ht="15">
      <c r="A441" s="150"/>
      <c r="B441" s="304" t="s">
        <v>18</v>
      </c>
      <c r="C441" s="305"/>
      <c r="D441" s="306"/>
      <c r="E441" s="329">
        <f>SUM(E435:E440)</f>
        <v>13.07</v>
      </c>
      <c r="F441" s="290"/>
      <c r="G441" s="295"/>
      <c r="H441" s="295"/>
      <c r="M441" s="284"/>
      <c r="N441" s="141"/>
      <c r="O441" s="136"/>
      <c r="P441" s="136"/>
    </row>
    <row r="442" spans="1:16" ht="15">
      <c r="A442" s="150"/>
      <c r="B442" s="290"/>
      <c r="C442" s="290"/>
      <c r="D442" s="290"/>
      <c r="E442" s="290"/>
      <c r="F442" s="290"/>
      <c r="G442" s="290"/>
      <c r="H442" s="290"/>
      <c r="M442" s="284"/>
      <c r="N442" s="141"/>
      <c r="O442" s="136"/>
      <c r="P442" s="136"/>
    </row>
    <row r="443" spans="1:16" ht="15">
      <c r="A443" s="157"/>
      <c r="B443" s="721" t="s">
        <v>629</v>
      </c>
      <c r="C443" s="713"/>
      <c r="D443" s="713"/>
      <c r="E443" s="713"/>
      <c r="F443" s="720"/>
      <c r="K443" s="309"/>
      <c r="L443" s="284"/>
      <c r="M443" s="141"/>
      <c r="N443" s="710"/>
      <c r="O443" s="136"/>
      <c r="P443" s="136"/>
    </row>
    <row r="444" spans="1:16" ht="12.75">
      <c r="A444" s="157"/>
      <c r="B444" s="328" t="s">
        <v>12</v>
      </c>
      <c r="C444" s="328" t="s">
        <v>176</v>
      </c>
      <c r="D444" s="328" t="s">
        <v>88</v>
      </c>
      <c r="E444" s="169" t="s">
        <v>177</v>
      </c>
      <c r="F444" s="290"/>
      <c r="K444" s="309"/>
      <c r="L444" s="284"/>
      <c r="M444" s="141"/>
      <c r="N444" s="157"/>
      <c r="O444" s="136"/>
      <c r="P444" s="136"/>
    </row>
    <row r="445" spans="1:16" ht="12.75">
      <c r="A445" s="157"/>
      <c r="B445" s="708" t="s">
        <v>630</v>
      </c>
      <c r="C445" s="713"/>
      <c r="D445" s="713"/>
      <c r="E445" s="713">
        <v>3.1</v>
      </c>
      <c r="F445" s="290"/>
      <c r="M445" s="141"/>
      <c r="N445" s="157"/>
      <c r="O445" s="136"/>
      <c r="P445" s="136"/>
    </row>
    <row r="446" spans="1:16" ht="15">
      <c r="A446" s="157"/>
      <c r="B446" s="708" t="s">
        <v>626</v>
      </c>
      <c r="C446" s="713"/>
      <c r="D446" s="713"/>
      <c r="E446" s="713">
        <v>3.1</v>
      </c>
      <c r="F446" s="290"/>
      <c r="M446" s="709"/>
      <c r="N446" s="157"/>
      <c r="O446" s="136"/>
      <c r="P446" s="136"/>
    </row>
    <row r="447" spans="1:16" ht="15">
      <c r="A447" s="150"/>
      <c r="B447" s="304" t="s">
        <v>18</v>
      </c>
      <c r="C447" s="305"/>
      <c r="D447" s="306"/>
      <c r="E447" s="329">
        <f>SUM(E445:E446)</f>
        <v>6.2</v>
      </c>
      <c r="F447" s="290"/>
      <c r="G447" s="295"/>
      <c r="H447" s="295"/>
      <c r="M447" s="284"/>
      <c r="N447" s="141"/>
      <c r="O447" s="136"/>
      <c r="P447" s="136"/>
    </row>
    <row r="448" spans="1:16" ht="15">
      <c r="A448" s="150"/>
      <c r="B448" s="290"/>
      <c r="C448" s="290"/>
      <c r="D448" s="290"/>
      <c r="E448" s="290"/>
      <c r="F448" s="290"/>
      <c r="G448" s="290"/>
      <c r="H448" s="290"/>
      <c r="M448" s="284"/>
      <c r="N448" s="141"/>
      <c r="O448" s="136"/>
      <c r="P448" s="136"/>
    </row>
    <row r="449" spans="1:14" ht="15">
      <c r="A449" s="150"/>
      <c r="B449" s="1107" t="s">
        <v>181</v>
      </c>
      <c r="C449" s="1107"/>
      <c r="D449" s="1107"/>
      <c r="E449" s="1107"/>
      <c r="F449" s="290"/>
      <c r="G449" s="290"/>
      <c r="H449" s="290"/>
      <c r="M449" s="284"/>
      <c r="N449" s="141"/>
    </row>
    <row r="450" spans="1:14" ht="15">
      <c r="A450" s="150"/>
      <c r="B450" s="169"/>
      <c r="C450" s="1107" t="s">
        <v>149</v>
      </c>
      <c r="D450" s="1107"/>
      <c r="E450" s="312">
        <f>E425+E441+E447+E431</f>
        <v>76.31</v>
      </c>
      <c r="F450" s="307"/>
      <c r="G450" s="307"/>
      <c r="H450" s="307"/>
      <c r="M450" s="284"/>
      <c r="N450" s="141"/>
    </row>
    <row r="451" spans="1:16" ht="15" customHeight="1">
      <c r="A451" s="150"/>
      <c r="B451" s="190"/>
      <c r="C451" s="1098" t="s">
        <v>628</v>
      </c>
      <c r="D451" s="1098"/>
      <c r="E451" s="312">
        <f>K420+K426</f>
        <v>8.309999999999999</v>
      </c>
      <c r="F451" s="307"/>
      <c r="G451" s="307"/>
      <c r="H451" s="307"/>
      <c r="M451" s="284"/>
      <c r="N451" s="283"/>
      <c r="O451" s="136"/>
      <c r="P451" s="136"/>
    </row>
    <row r="452" spans="1:16" ht="15" customHeight="1">
      <c r="A452" s="150"/>
      <c r="B452" s="304" t="s">
        <v>18</v>
      </c>
      <c r="C452" s="305"/>
      <c r="D452" s="306"/>
      <c r="E452" s="313">
        <f>SUM(E450-E451)</f>
        <v>68</v>
      </c>
      <c r="F452" s="307"/>
      <c r="G452" s="307"/>
      <c r="H452" s="307"/>
      <c r="I452" s="307"/>
      <c r="J452" s="307"/>
      <c r="K452" s="309"/>
      <c r="L452" s="284"/>
      <c r="M452" s="284"/>
      <c r="N452" s="311"/>
      <c r="O452" s="136"/>
      <c r="P452" s="136"/>
    </row>
    <row r="453" spans="1:16" ht="15">
      <c r="A453" s="150"/>
      <c r="B453" s="136"/>
      <c r="C453" s="136"/>
      <c r="D453" s="136"/>
      <c r="E453" s="141"/>
      <c r="F453" s="141"/>
      <c r="G453" s="314"/>
      <c r="H453" s="151"/>
      <c r="I453" s="151"/>
      <c r="J453" s="151"/>
      <c r="K453" s="284"/>
      <c r="L453" s="284"/>
      <c r="M453" s="284"/>
      <c r="N453" s="141"/>
      <c r="O453" s="136"/>
      <c r="P453" s="136"/>
    </row>
    <row r="454" spans="1:16" ht="15" customHeight="1">
      <c r="A454" s="150"/>
      <c r="B454" s="732" t="s">
        <v>94</v>
      </c>
      <c r="C454" s="733">
        <f>E452</f>
        <v>68</v>
      </c>
      <c r="D454" s="734" t="s">
        <v>2</v>
      </c>
      <c r="E454" s="282"/>
      <c r="F454" s="141"/>
      <c r="G454" s="141"/>
      <c r="H454" s="151"/>
      <c r="I454" s="151"/>
      <c r="J454" s="151"/>
      <c r="K454" s="141"/>
      <c r="L454" s="141"/>
      <c r="M454" s="284"/>
      <c r="N454" s="311"/>
      <c r="O454" s="136"/>
      <c r="P454" s="136"/>
    </row>
    <row r="455" spans="1:16" ht="15" customHeight="1">
      <c r="A455" s="150"/>
      <c r="M455" s="284"/>
      <c r="N455" s="141"/>
      <c r="O455" s="136"/>
      <c r="P455" s="136"/>
    </row>
    <row r="456" spans="1:16" s="270" customFormat="1" ht="15" customHeight="1">
      <c r="A456" s="150" t="str">
        <f>'ORÇAMENTO NÃO DESONERADO'!A105</f>
        <v>5.7.2</v>
      </c>
      <c r="B456" s="1101" t="str">
        <f>'ORÇAMENTO NÃO DESONERADO'!C105</f>
        <v>DIVISORIA EM GRANITO BRANCO POLIDO, ESP = 3CM, ASSENTADO COM ARGAMASSA TRACO 1:4, ARREMATE EM CIMENTO BRANCO, EXCLUSIVE FERRAGENS</v>
      </c>
      <c r="C456" s="1101"/>
      <c r="D456" s="1101"/>
      <c r="E456" s="1101"/>
      <c r="F456" s="1101"/>
      <c r="G456" s="1101"/>
      <c r="H456" s="1101"/>
      <c r="I456" s="1101"/>
      <c r="J456" s="1101"/>
      <c r="K456" s="1101"/>
      <c r="L456" s="1101"/>
      <c r="M456" s="1101"/>
      <c r="N456" s="369"/>
      <c r="O456" s="282"/>
      <c r="P456" s="282"/>
    </row>
    <row r="457" spans="1:16" s="270" customFormat="1" ht="15" customHeight="1">
      <c r="A457" s="150"/>
      <c r="B457" s="1101"/>
      <c r="C457" s="1101"/>
      <c r="D457" s="1101"/>
      <c r="E457" s="1101"/>
      <c r="F457" s="1101"/>
      <c r="G457" s="1101"/>
      <c r="H457" s="1101"/>
      <c r="I457" s="1101"/>
      <c r="J457" s="1101"/>
      <c r="K457" s="1101"/>
      <c r="L457" s="1101"/>
      <c r="M457" s="1101"/>
      <c r="N457" s="369"/>
      <c r="O457" s="282"/>
      <c r="P457" s="282"/>
    </row>
    <row r="458" spans="1:16" s="270" customFormat="1" ht="15">
      <c r="A458" s="150"/>
      <c r="B458" s="141"/>
      <c r="C458" s="141"/>
      <c r="D458" s="141"/>
      <c r="E458" s="141"/>
      <c r="F458" s="141"/>
      <c r="G458" s="709"/>
      <c r="H458" s="709"/>
      <c r="I458" s="709"/>
      <c r="J458" s="709"/>
      <c r="K458" s="709"/>
      <c r="L458" s="709"/>
      <c r="M458" s="709"/>
      <c r="N458" s="141"/>
      <c r="O458" s="282"/>
      <c r="P458" s="282"/>
    </row>
    <row r="459" spans="1:16" s="270" customFormat="1" ht="15">
      <c r="A459" s="150"/>
      <c r="B459" s="141"/>
      <c r="C459" s="149" t="s">
        <v>647</v>
      </c>
      <c r="D459" s="141"/>
      <c r="E459" s="149" t="s">
        <v>254</v>
      </c>
      <c r="F459" s="151" t="s">
        <v>646</v>
      </c>
      <c r="G459" s="709"/>
      <c r="H459" s="709"/>
      <c r="I459" s="709"/>
      <c r="J459" s="709"/>
      <c r="K459" s="709"/>
      <c r="L459" s="709"/>
      <c r="M459" s="709"/>
      <c r="N459" s="141"/>
      <c r="O459" s="282"/>
      <c r="P459" s="282"/>
    </row>
    <row r="460" spans="1:16" s="270" customFormat="1" ht="15">
      <c r="A460" s="150"/>
      <c r="B460" s="149" t="s">
        <v>160</v>
      </c>
      <c r="C460" s="149">
        <f>2.5*0.6</f>
        <v>1.5</v>
      </c>
      <c r="D460" s="149" t="s">
        <v>28</v>
      </c>
      <c r="E460" s="153">
        <v>2.1</v>
      </c>
      <c r="F460" s="141"/>
      <c r="G460" s="709"/>
      <c r="H460" s="709"/>
      <c r="I460" s="709"/>
      <c r="J460" s="709"/>
      <c r="K460" s="709"/>
      <c r="L460" s="709"/>
      <c r="M460" s="709"/>
      <c r="N460" s="141"/>
      <c r="O460" s="282"/>
      <c r="P460" s="282"/>
    </row>
    <row r="461" spans="1:16" s="270" customFormat="1" ht="15">
      <c r="A461" s="150"/>
      <c r="B461" s="141"/>
      <c r="C461" s="149"/>
      <c r="D461" s="141"/>
      <c r="E461" s="153"/>
      <c r="F461" s="141"/>
      <c r="G461" s="709"/>
      <c r="H461" s="709"/>
      <c r="I461" s="709"/>
      <c r="J461" s="709"/>
      <c r="K461" s="709"/>
      <c r="L461" s="709"/>
      <c r="M461" s="709"/>
      <c r="N461" s="141"/>
      <c r="O461" s="282"/>
      <c r="P461" s="282"/>
    </row>
    <row r="462" spans="1:16" s="270" customFormat="1" ht="15">
      <c r="A462" s="150"/>
      <c r="B462" s="643" t="s">
        <v>160</v>
      </c>
      <c r="C462" s="644">
        <f>ROUND((C460*E460),2)</f>
        <v>3.15</v>
      </c>
      <c r="D462" s="645" t="s">
        <v>2</v>
      </c>
      <c r="E462" s="282"/>
      <c r="F462" s="141"/>
      <c r="G462" s="709"/>
      <c r="H462" s="709"/>
      <c r="I462" s="709"/>
      <c r="J462" s="709"/>
      <c r="K462" s="709"/>
      <c r="L462" s="709"/>
      <c r="M462" s="709"/>
      <c r="N462" s="157"/>
      <c r="O462" s="282"/>
      <c r="P462" s="282"/>
    </row>
    <row r="463" spans="1:16" s="270" customFormat="1" ht="15">
      <c r="A463" s="150"/>
      <c r="B463" s="141"/>
      <c r="C463" s="141" t="s">
        <v>158</v>
      </c>
      <c r="D463" s="141"/>
      <c r="E463" s="141"/>
      <c r="F463" s="141"/>
      <c r="G463" s="709"/>
      <c r="H463" s="709"/>
      <c r="I463" s="709"/>
      <c r="J463" s="709"/>
      <c r="K463" s="709"/>
      <c r="L463" s="709"/>
      <c r="M463" s="709"/>
      <c r="N463" s="157"/>
      <c r="O463" s="282"/>
      <c r="P463" s="282"/>
    </row>
    <row r="464" spans="1:14" ht="15">
      <c r="A464" s="273" t="str">
        <f>'ORÇAMENTO NÃO DESONERADO'!A107</f>
        <v>5.8</v>
      </c>
      <c r="B464" s="406" t="str">
        <f>'ORÇAMENTO NÃO DESONERADO'!C107</f>
        <v>REVESTIMENTO</v>
      </c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41"/>
    </row>
    <row r="465" spans="1:14" ht="15" customHeight="1">
      <c r="A465" s="150" t="str">
        <f>'ORÇAMENTO NÃO DESONERADO'!A108</f>
        <v>5.8.1</v>
      </c>
      <c r="B465" s="1101" t="str">
        <f>'ORÇAMENTO NÃO DESONERADO'!C108</f>
        <v>CHAPISCO APLICADO EM ALVENARIA (COM PRESENÇA DE VÃOS) E ESTRUTURAS DE CONCRETO DE FACHADA, COM COLHER DE PEDREIRO.  ARGAMASSA TRAÇO 1:3 COM PREPARO EM BETONEIRA 400L. AF_06/2014</v>
      </c>
      <c r="C465" s="1101"/>
      <c r="D465" s="1101"/>
      <c r="E465" s="1101"/>
      <c r="F465" s="1101"/>
      <c r="G465" s="1101"/>
      <c r="H465" s="1101"/>
      <c r="I465" s="1101"/>
      <c r="J465" s="1101"/>
      <c r="K465" s="1101"/>
      <c r="L465" s="1101"/>
      <c r="M465" s="1101"/>
      <c r="N465" s="311"/>
    </row>
    <row r="466" spans="1:14" ht="15">
      <c r="A466" s="150"/>
      <c r="B466" s="1101"/>
      <c r="C466" s="1101"/>
      <c r="D466" s="1101"/>
      <c r="E466" s="1101"/>
      <c r="F466" s="1101"/>
      <c r="G466" s="1101"/>
      <c r="H466" s="1101"/>
      <c r="I466" s="1101"/>
      <c r="J466" s="1101"/>
      <c r="K466" s="1101"/>
      <c r="L466" s="1101"/>
      <c r="M466" s="1101"/>
      <c r="N466" s="709"/>
    </row>
    <row r="467" spans="1:16" s="154" customFormat="1" ht="15">
      <c r="A467" s="150"/>
      <c r="B467" s="141"/>
      <c r="C467" s="157"/>
      <c r="D467" s="141"/>
      <c r="E467" s="141"/>
      <c r="F467" s="141"/>
      <c r="G467" s="151"/>
      <c r="H467" s="314"/>
      <c r="I467" s="141"/>
      <c r="J467" s="141"/>
      <c r="K467" s="151"/>
      <c r="L467" s="141"/>
      <c r="M467" s="141"/>
      <c r="N467" s="141"/>
      <c r="O467" s="136"/>
      <c r="P467" s="136"/>
    </row>
    <row r="468" spans="1:16" s="154" customFormat="1" ht="12.75">
      <c r="A468" s="725" t="s">
        <v>644</v>
      </c>
      <c r="B468" s="141"/>
      <c r="C468" s="157"/>
      <c r="D468" s="141"/>
      <c r="E468" s="141" t="str">
        <f>A413</f>
        <v>5.7.1</v>
      </c>
      <c r="F468" s="141"/>
      <c r="G468" s="151"/>
      <c r="H468" s="314"/>
      <c r="I468" s="141"/>
      <c r="J468" s="141"/>
      <c r="K468" s="151"/>
      <c r="L468" s="141"/>
      <c r="M468" s="141"/>
      <c r="N468" s="141"/>
      <c r="O468" s="136"/>
      <c r="P468" s="136"/>
    </row>
    <row r="469" spans="1:16" s="154" customFormat="1" ht="15">
      <c r="A469" s="150"/>
      <c r="B469" s="141"/>
      <c r="C469" s="157"/>
      <c r="D469" s="141"/>
      <c r="E469" s="141"/>
      <c r="F469" s="141"/>
      <c r="G469" s="151"/>
      <c r="H469" s="314"/>
      <c r="I469" s="141"/>
      <c r="J469" s="141"/>
      <c r="K469" s="151"/>
      <c r="L469" s="141"/>
      <c r="M469" s="141"/>
      <c r="N469" s="141"/>
      <c r="O469" s="136"/>
      <c r="P469" s="136"/>
    </row>
    <row r="470" spans="1:16" s="154" customFormat="1" ht="15">
      <c r="A470" s="150"/>
      <c r="B470" s="729" t="s">
        <v>212</v>
      </c>
      <c r="C470" s="726"/>
      <c r="D470" s="726" t="s">
        <v>289</v>
      </c>
      <c r="E470" s="726"/>
      <c r="F470" s="728" t="s">
        <v>645</v>
      </c>
      <c r="G470" s="24"/>
      <c r="H470" s="24"/>
      <c r="I470" s="24"/>
      <c r="J470" s="24"/>
      <c r="K470" s="157"/>
      <c r="L470" s="141"/>
      <c r="M470" s="141"/>
      <c r="N470" s="283"/>
      <c r="O470" s="136"/>
      <c r="P470" s="136"/>
    </row>
    <row r="471" spans="1:16" s="154" customFormat="1" ht="15">
      <c r="A471" s="150"/>
      <c r="B471" s="727">
        <f>C454</f>
        <v>68</v>
      </c>
      <c r="C471" s="727" t="s">
        <v>28</v>
      </c>
      <c r="D471" s="727">
        <v>2</v>
      </c>
      <c r="E471" s="727" t="s">
        <v>29</v>
      </c>
      <c r="F471" s="387">
        <f>ROUND((B471*D471),2)</f>
        <v>136</v>
      </c>
      <c r="G471" s="149"/>
      <c r="H471" s="149"/>
      <c r="I471" s="149"/>
      <c r="J471" s="149"/>
      <c r="K471" s="141"/>
      <c r="L471" s="141"/>
      <c r="M471" s="141"/>
      <c r="N471" s="310"/>
      <c r="O471" s="136"/>
      <c r="P471" s="136"/>
    </row>
    <row r="472" spans="1:16" s="154" customFormat="1" ht="15">
      <c r="A472" s="150"/>
      <c r="F472" s="141"/>
      <c r="G472" s="316"/>
      <c r="H472" s="149"/>
      <c r="I472" s="149"/>
      <c r="J472" s="149"/>
      <c r="K472" s="141"/>
      <c r="L472" s="141"/>
      <c r="M472" s="141"/>
      <c r="N472" s="310"/>
      <c r="O472" s="136"/>
      <c r="P472" s="136"/>
    </row>
    <row r="473" spans="1:16" s="154" customFormat="1" ht="15">
      <c r="A473" s="150"/>
      <c r="B473" s="320" t="s">
        <v>148</v>
      </c>
      <c r="C473" s="280"/>
      <c r="D473" s="280"/>
      <c r="E473" s="281"/>
      <c r="F473" s="141"/>
      <c r="G473" s="320" t="s">
        <v>210</v>
      </c>
      <c r="H473" s="280"/>
      <c r="I473" s="321"/>
      <c r="J473" s="321"/>
      <c r="K473" s="322"/>
      <c r="L473" s="141"/>
      <c r="M473" s="141"/>
      <c r="N473" s="310"/>
      <c r="O473" s="136"/>
      <c r="P473" s="136"/>
    </row>
    <row r="474" spans="1:16" s="154" customFormat="1" ht="28.5">
      <c r="A474" s="150"/>
      <c r="B474" s="318" t="s">
        <v>12</v>
      </c>
      <c r="C474" s="319" t="s">
        <v>265</v>
      </c>
      <c r="D474" s="324" t="s">
        <v>288</v>
      </c>
      <c r="E474" s="319" t="s">
        <v>263</v>
      </c>
      <c r="F474" s="141"/>
      <c r="G474" s="318" t="s">
        <v>12</v>
      </c>
      <c r="H474" s="324" t="s">
        <v>288</v>
      </c>
      <c r="I474" s="319" t="s">
        <v>266</v>
      </c>
      <c r="J474" s="319" t="s">
        <v>631</v>
      </c>
      <c r="K474" s="319" t="s">
        <v>263</v>
      </c>
      <c r="L474" s="141"/>
      <c r="M474" s="141"/>
      <c r="N474" s="310"/>
      <c r="O474" s="136"/>
      <c r="P474" s="136"/>
    </row>
    <row r="475" spans="1:16" s="154" customFormat="1" ht="15">
      <c r="A475" s="150"/>
      <c r="B475" s="323" t="s">
        <v>636</v>
      </c>
      <c r="C475" s="325">
        <v>14.3</v>
      </c>
      <c r="D475" s="325">
        <f>0.5+0.5+0.2</f>
        <v>1.2</v>
      </c>
      <c r="E475" s="281">
        <f aca="true" t="shared" si="24" ref="E475:E483">ROUND((D475*C475),2)</f>
        <v>17.16</v>
      </c>
      <c r="F475" s="141"/>
      <c r="G475" s="724" t="s">
        <v>487</v>
      </c>
      <c r="H475" s="317">
        <f>1-(0.15*2)</f>
        <v>0.7</v>
      </c>
      <c r="I475" s="317">
        <v>3.1</v>
      </c>
      <c r="J475" s="317">
        <v>2</v>
      </c>
      <c r="K475" s="319">
        <f>ROUND((I475*H475*J475),2)</f>
        <v>4.34</v>
      </c>
      <c r="L475" s="141"/>
      <c r="M475" s="141"/>
      <c r="N475" s="310"/>
      <c r="O475" s="136"/>
      <c r="P475" s="136"/>
    </row>
    <row r="476" spans="1:16" s="154" customFormat="1" ht="15">
      <c r="A476" s="150"/>
      <c r="B476" s="323" t="s">
        <v>454</v>
      </c>
      <c r="C476" s="325">
        <v>5.15</v>
      </c>
      <c r="D476" s="325">
        <f>0.3+0.3+0.15</f>
        <v>0.75</v>
      </c>
      <c r="E476" s="281">
        <f t="shared" si="24"/>
        <v>3.86</v>
      </c>
      <c r="F476" s="141"/>
      <c r="G476" s="724" t="s">
        <v>632</v>
      </c>
      <c r="H476" s="317">
        <f>1-(0.15*2)</f>
        <v>0.7</v>
      </c>
      <c r="I476" s="317">
        <v>3.1</v>
      </c>
      <c r="J476" s="317">
        <v>1</v>
      </c>
      <c r="K476" s="319">
        <f aca="true" t="shared" si="25" ref="K476:K482">ROUND((I476*H476*J476),2)</f>
        <v>2.17</v>
      </c>
      <c r="L476" s="141"/>
      <c r="M476" s="141"/>
      <c r="N476" s="310"/>
      <c r="O476" s="136"/>
      <c r="P476" s="136"/>
    </row>
    <row r="477" spans="1:16" s="154" customFormat="1" ht="15">
      <c r="A477" s="150"/>
      <c r="B477" s="323" t="s">
        <v>637</v>
      </c>
      <c r="C477" s="325">
        <f>C475</f>
        <v>14.3</v>
      </c>
      <c r="D477" s="325">
        <f>D475</f>
        <v>1.2</v>
      </c>
      <c r="E477" s="281">
        <f t="shared" si="24"/>
        <v>17.16</v>
      </c>
      <c r="F477" s="141"/>
      <c r="G477" s="724" t="s">
        <v>633</v>
      </c>
      <c r="H477" s="317">
        <v>1</v>
      </c>
      <c r="I477" s="317">
        <v>3.1</v>
      </c>
      <c r="J477" s="317">
        <v>3</v>
      </c>
      <c r="K477" s="319">
        <f t="shared" si="25"/>
        <v>9.3</v>
      </c>
      <c r="L477" s="141"/>
      <c r="M477" s="141"/>
      <c r="N477" s="310"/>
      <c r="O477" s="136"/>
      <c r="P477" s="136"/>
    </row>
    <row r="478" spans="1:16" s="154" customFormat="1" ht="15">
      <c r="A478" s="150"/>
      <c r="B478" s="323" t="s">
        <v>638</v>
      </c>
      <c r="C478" s="325">
        <v>10</v>
      </c>
      <c r="D478" s="325">
        <f>0.5+0.5+0.15</f>
        <v>1.15</v>
      </c>
      <c r="E478" s="281">
        <f t="shared" si="24"/>
        <v>11.5</v>
      </c>
      <c r="F478" s="141"/>
      <c r="G478" s="724" t="s">
        <v>489</v>
      </c>
      <c r="H478" s="317">
        <v>1</v>
      </c>
      <c r="I478" s="317">
        <v>3.1</v>
      </c>
      <c r="J478" s="317">
        <v>4</v>
      </c>
      <c r="K478" s="319">
        <f t="shared" si="25"/>
        <v>12.4</v>
      </c>
      <c r="L478" s="141"/>
      <c r="M478" s="141"/>
      <c r="N478" s="310"/>
      <c r="O478" s="136"/>
      <c r="P478" s="136"/>
    </row>
    <row r="479" spans="1:16" s="154" customFormat="1" ht="15">
      <c r="A479" s="150"/>
      <c r="B479" s="323" t="s">
        <v>642</v>
      </c>
      <c r="C479" s="325">
        <v>2.8</v>
      </c>
      <c r="D479" s="325">
        <f>D476</f>
        <v>0.75</v>
      </c>
      <c r="E479" s="281">
        <f t="shared" si="24"/>
        <v>2.1</v>
      </c>
      <c r="F479" s="141"/>
      <c r="G479" s="724" t="s">
        <v>490</v>
      </c>
      <c r="H479" s="317">
        <f>0.9-(0.15*1)</f>
        <v>0.75</v>
      </c>
      <c r="I479" s="317">
        <v>3.1</v>
      </c>
      <c r="J479" s="317">
        <v>4</v>
      </c>
      <c r="K479" s="319">
        <f t="shared" si="25"/>
        <v>9.3</v>
      </c>
      <c r="L479" s="141"/>
      <c r="M479" s="141"/>
      <c r="N479" s="310"/>
      <c r="O479" s="136"/>
      <c r="P479" s="136"/>
    </row>
    <row r="480" spans="1:16" s="154" customFormat="1" ht="15">
      <c r="A480" s="150"/>
      <c r="B480" s="323" t="s">
        <v>643</v>
      </c>
      <c r="C480" s="325">
        <v>2.8</v>
      </c>
      <c r="D480" s="325">
        <f>D479</f>
        <v>0.75</v>
      </c>
      <c r="E480" s="281">
        <f t="shared" si="24"/>
        <v>2.1</v>
      </c>
      <c r="F480" s="141"/>
      <c r="G480" s="724" t="s">
        <v>635</v>
      </c>
      <c r="H480" s="317">
        <f>0.7-(0.15*3)</f>
        <v>0.25</v>
      </c>
      <c r="I480" s="317">
        <v>3.1</v>
      </c>
      <c r="J480" s="317">
        <v>2</v>
      </c>
      <c r="K480" s="319">
        <f t="shared" si="25"/>
        <v>1.55</v>
      </c>
      <c r="L480" s="141"/>
      <c r="M480" s="141"/>
      <c r="N480" s="310"/>
      <c r="O480" s="136"/>
      <c r="P480" s="136"/>
    </row>
    <row r="481" spans="1:16" s="154" customFormat="1" ht="15">
      <c r="A481" s="150"/>
      <c r="B481" s="323" t="s">
        <v>640</v>
      </c>
      <c r="C481" s="325">
        <v>2.22</v>
      </c>
      <c r="D481" s="325">
        <f>1.2</f>
        <v>1.2</v>
      </c>
      <c r="E481" s="281">
        <f t="shared" si="24"/>
        <v>2.66</v>
      </c>
      <c r="F481" s="141"/>
      <c r="G481" s="724" t="s">
        <v>634</v>
      </c>
      <c r="H481" s="317">
        <f>0.7-(0.15*2)</f>
        <v>0.39999999999999997</v>
      </c>
      <c r="I481" s="317">
        <v>3.1</v>
      </c>
      <c r="J481" s="317">
        <v>1</v>
      </c>
      <c r="K481" s="319">
        <f t="shared" si="25"/>
        <v>1.24</v>
      </c>
      <c r="L481" s="141"/>
      <c r="M481" s="141"/>
      <c r="N481" s="310"/>
      <c r="O481" s="136"/>
      <c r="P481" s="136"/>
    </row>
    <row r="482" spans="1:16" s="154" customFormat="1" ht="15">
      <c r="A482" s="150"/>
      <c r="B482" s="323" t="s">
        <v>641</v>
      </c>
      <c r="C482" s="325">
        <f>C481</f>
        <v>2.22</v>
      </c>
      <c r="D482" s="325">
        <f>D481</f>
        <v>1.2</v>
      </c>
      <c r="E482" s="281">
        <f t="shared" si="24"/>
        <v>2.66</v>
      </c>
      <c r="F482" s="141"/>
      <c r="G482" s="724" t="s">
        <v>491</v>
      </c>
      <c r="H482" s="317">
        <v>0.95</v>
      </c>
      <c r="I482" s="317">
        <v>3.1</v>
      </c>
      <c r="J482" s="317">
        <v>2</v>
      </c>
      <c r="K482" s="319">
        <f t="shared" si="25"/>
        <v>5.89</v>
      </c>
      <c r="L482" s="141"/>
      <c r="M482" s="141"/>
      <c r="N482" s="310"/>
      <c r="O482" s="136"/>
      <c r="P482" s="136"/>
    </row>
    <row r="483" spans="1:16" s="154" customFormat="1" ht="15">
      <c r="A483" s="150"/>
      <c r="B483" s="323" t="s">
        <v>639</v>
      </c>
      <c r="C483" s="325">
        <v>10</v>
      </c>
      <c r="D483" s="325">
        <f>0.5+0.5+0.15</f>
        <v>1.15</v>
      </c>
      <c r="E483" s="281">
        <f t="shared" si="24"/>
        <v>11.5</v>
      </c>
      <c r="F483" s="141"/>
      <c r="G483" s="323"/>
      <c r="H483" s="280"/>
      <c r="I483" s="280"/>
      <c r="J483" s="280" t="s">
        <v>92</v>
      </c>
      <c r="K483" s="319">
        <f>SUM(K475:K482)</f>
        <v>46.190000000000005</v>
      </c>
      <c r="L483" s="141"/>
      <c r="M483" s="141"/>
      <c r="N483" s="310"/>
      <c r="O483" s="136"/>
      <c r="P483" s="136"/>
    </row>
    <row r="484" spans="1:16" s="154" customFormat="1" ht="15">
      <c r="A484" s="150"/>
      <c r="B484" s="323"/>
      <c r="C484" s="280"/>
      <c r="D484" s="280" t="s">
        <v>92</v>
      </c>
      <c r="E484" s="319">
        <f>SUM(E475:E483)</f>
        <v>70.7</v>
      </c>
      <c r="F484" s="141"/>
      <c r="L484" s="141"/>
      <c r="M484" s="141"/>
      <c r="N484" s="310"/>
      <c r="O484" s="136"/>
      <c r="P484" s="136"/>
    </row>
    <row r="485" spans="1:16" s="154" customFormat="1" ht="15">
      <c r="A485" s="150"/>
      <c r="F485" s="141"/>
      <c r="L485" s="141"/>
      <c r="M485" s="141"/>
      <c r="N485" s="310"/>
      <c r="O485" s="136"/>
      <c r="P485" s="136"/>
    </row>
    <row r="486" spans="1:16" s="154" customFormat="1" ht="15">
      <c r="A486" s="150"/>
      <c r="B486" s="141" t="s">
        <v>287</v>
      </c>
      <c r="C486" s="141"/>
      <c r="D486" s="141" t="s">
        <v>148</v>
      </c>
      <c r="E486" s="141"/>
      <c r="F486" s="141" t="s">
        <v>210</v>
      </c>
      <c r="G486" s="316"/>
      <c r="H486" s="149"/>
      <c r="I486" s="149"/>
      <c r="J486" s="149"/>
      <c r="K486" s="141"/>
      <c r="L486" s="141"/>
      <c r="M486" s="141"/>
      <c r="N486" s="310"/>
      <c r="O486" s="136"/>
      <c r="P486" s="136"/>
    </row>
    <row r="487" spans="1:16" s="730" customFormat="1" ht="15" customHeight="1">
      <c r="A487" s="150"/>
      <c r="B487" s="149">
        <f>F471</f>
        <v>136</v>
      </c>
      <c r="C487" s="149" t="s">
        <v>93</v>
      </c>
      <c r="D487" s="153">
        <f>E484</f>
        <v>70.7</v>
      </c>
      <c r="E487" s="149" t="s">
        <v>93</v>
      </c>
      <c r="F487" s="326">
        <f>K483</f>
        <v>46.190000000000005</v>
      </c>
      <c r="G487" s="316" t="s">
        <v>29</v>
      </c>
      <c r="H487" s="149">
        <f>B487+D487+F487</f>
        <v>252.89</v>
      </c>
      <c r="I487" s="149"/>
      <c r="J487" s="149"/>
      <c r="K487" s="141"/>
      <c r="L487" s="141"/>
      <c r="M487" s="141"/>
      <c r="N487" s="710"/>
      <c r="O487" s="141"/>
      <c r="P487" s="141"/>
    </row>
    <row r="488" spans="1:16" s="730" customFormat="1" ht="15">
      <c r="A488" s="150"/>
      <c r="B488" s="141"/>
      <c r="C488" s="141"/>
      <c r="D488" s="141"/>
      <c r="E488" s="141"/>
      <c r="F488" s="141"/>
      <c r="G488" s="316"/>
      <c r="H488" s="149"/>
      <c r="I488" s="141"/>
      <c r="J488" s="141"/>
      <c r="K488" s="141"/>
      <c r="L488" s="141"/>
      <c r="M488" s="141"/>
      <c r="N488" s="710"/>
      <c r="O488" s="141"/>
      <c r="P488" s="141"/>
    </row>
    <row r="489" spans="1:16" s="730" customFormat="1" ht="15">
      <c r="A489" s="150"/>
      <c r="B489" s="732" t="s">
        <v>94</v>
      </c>
      <c r="C489" s="733">
        <f>H487</f>
        <v>252.89</v>
      </c>
      <c r="D489" s="734" t="s">
        <v>2</v>
      </c>
      <c r="E489" s="282"/>
      <c r="F489" s="141"/>
      <c r="G489" s="141"/>
      <c r="H489" s="141"/>
      <c r="I489" s="141"/>
      <c r="J489" s="141"/>
      <c r="K489" s="639"/>
      <c r="L489" s="141"/>
      <c r="M489" s="141"/>
      <c r="N489" s="157"/>
      <c r="O489" s="311"/>
      <c r="P489" s="311"/>
    </row>
    <row r="490" spans="1:16" s="730" customFormat="1" ht="15">
      <c r="A490" s="150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57"/>
      <c r="O490" s="311"/>
      <c r="P490" s="311"/>
    </row>
    <row r="491" spans="1:16" s="730" customFormat="1" ht="50.25" customHeight="1">
      <c r="A491" s="150" t="str">
        <f>'ORÇAMENTO NÃO DESONERADO'!A109</f>
        <v>5.8.2</v>
      </c>
      <c r="B491" s="1106" t="str">
        <f>'ORÇAMENTO NÃO DESONERADO'!C109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C491" s="1106"/>
      <c r="D491" s="1106"/>
      <c r="E491" s="1106"/>
      <c r="F491" s="1106"/>
      <c r="G491" s="1106"/>
      <c r="H491" s="1106"/>
      <c r="I491" s="1106"/>
      <c r="J491" s="1106"/>
      <c r="K491" s="1106"/>
      <c r="L491" s="1106"/>
      <c r="M491" s="1106"/>
      <c r="N491" s="1106"/>
      <c r="O491" s="311"/>
      <c r="P491" s="311"/>
    </row>
    <row r="492" spans="1:16" s="270" customFormat="1" ht="15">
      <c r="A492" s="150"/>
      <c r="B492" s="141"/>
      <c r="C492" s="141"/>
      <c r="D492" s="141"/>
      <c r="E492" s="141"/>
      <c r="F492" s="141"/>
      <c r="G492" s="141"/>
      <c r="H492" s="149"/>
      <c r="I492" s="141"/>
      <c r="J492" s="141"/>
      <c r="K492" s="141"/>
      <c r="L492" s="141"/>
      <c r="M492" s="141"/>
      <c r="N492" s="157"/>
      <c r="O492" s="282"/>
      <c r="P492" s="282"/>
    </row>
    <row r="493" spans="1:16" s="270" customFormat="1" ht="15">
      <c r="A493" s="150"/>
      <c r="B493" s="643" t="s">
        <v>94</v>
      </c>
      <c r="C493" s="644">
        <f>C489</f>
        <v>252.89</v>
      </c>
      <c r="D493" s="645" t="s">
        <v>2</v>
      </c>
      <c r="E493" s="282"/>
      <c r="F493" s="141"/>
      <c r="G493" s="141"/>
      <c r="H493" s="141"/>
      <c r="I493" s="141"/>
      <c r="J493" s="141"/>
      <c r="K493" s="639"/>
      <c r="L493" s="141"/>
      <c r="M493" s="141"/>
      <c r="N493" s="157"/>
      <c r="O493" s="282"/>
      <c r="P493" s="282"/>
    </row>
    <row r="494" spans="1:16" s="270" customFormat="1" ht="15">
      <c r="A494" s="731"/>
      <c r="B494" s="314"/>
      <c r="C494" s="314"/>
      <c r="D494" s="141"/>
      <c r="E494" s="141"/>
      <c r="F494" s="141"/>
      <c r="G494" s="141"/>
      <c r="H494" s="639"/>
      <c r="I494" s="141"/>
      <c r="J494" s="141"/>
      <c r="K494" s="141" t="s">
        <v>158</v>
      </c>
      <c r="L494" s="141"/>
      <c r="M494" s="141"/>
      <c r="N494" s="157"/>
      <c r="O494" s="282"/>
      <c r="P494" s="282"/>
    </row>
    <row r="495" spans="1:16" s="270" customFormat="1" ht="15">
      <c r="A495" s="150" t="str">
        <f>'ORÇAMENTO NÃO DESONERADO'!A111</f>
        <v>5.9</v>
      </c>
      <c r="B495" s="286" t="str">
        <f>'ORÇAMENTO NÃO DESONERADO'!C111</f>
        <v>ASSENTOS INTERNOS</v>
      </c>
      <c r="C495" s="141"/>
      <c r="D495" s="141"/>
      <c r="E495" s="141"/>
      <c r="F495" s="141"/>
      <c r="G495" s="709"/>
      <c r="H495" s="709"/>
      <c r="I495" s="709"/>
      <c r="J495" s="709"/>
      <c r="K495" s="709"/>
      <c r="L495" s="709"/>
      <c r="M495" s="709"/>
      <c r="N495" s="157"/>
      <c r="O495" s="282"/>
      <c r="P495" s="282"/>
    </row>
    <row r="496" spans="1:16" s="270" customFormat="1" ht="33.75" customHeight="1">
      <c r="A496" s="150" t="str">
        <f>'ORÇAMENTO NÃO DESONERADO'!A112</f>
        <v>5.9.1</v>
      </c>
      <c r="B496" s="1101" t="str">
        <f>'ORÇAMENTO NÃO DESONERADO'!C112</f>
        <v>ASSENTO DE CONCRETO 01, COM TIJOLO MACIÇO, ATERRO COMPACTADO, COMPRIMENTO 5,30M, ACABAMENTO COM SELANTE ACRÍLICO PARA CONCRETO APARENTE E PINTURA TEXTURIZADA ACRÍLICA NA ALVENARIA</v>
      </c>
      <c r="C496" s="1101"/>
      <c r="D496" s="1101"/>
      <c r="E496" s="1101"/>
      <c r="F496" s="1101"/>
      <c r="G496" s="1101"/>
      <c r="H496" s="1101"/>
      <c r="I496" s="1101"/>
      <c r="J496" s="1101"/>
      <c r="K496" s="1101"/>
      <c r="L496" s="1101"/>
      <c r="M496" s="1101"/>
      <c r="N496" s="1101"/>
      <c r="O496" s="282"/>
      <c r="P496" s="282"/>
    </row>
    <row r="497" spans="1:16" s="270" customFormat="1" ht="15">
      <c r="A497" s="150"/>
      <c r="B497" s="369"/>
      <c r="C497" s="369"/>
      <c r="D497" s="369"/>
      <c r="E497" s="369"/>
      <c r="F497" s="369"/>
      <c r="G497" s="369"/>
      <c r="H497" s="369"/>
      <c r="I497" s="369"/>
      <c r="J497" s="369"/>
      <c r="K497" s="369"/>
      <c r="L497" s="369"/>
      <c r="M497" s="369"/>
      <c r="N497" s="157"/>
      <c r="O497" s="282"/>
      <c r="P497" s="282"/>
    </row>
    <row r="498" spans="1:16" ht="15">
      <c r="A498" s="150"/>
      <c r="B498" s="643" t="s">
        <v>94</v>
      </c>
      <c r="C498" s="644">
        <v>1</v>
      </c>
      <c r="D498" s="645" t="s">
        <v>437</v>
      </c>
      <c r="E498" s="141"/>
      <c r="F498" s="141"/>
      <c r="G498" s="330"/>
      <c r="H498" s="330"/>
      <c r="I498" s="330"/>
      <c r="J498" s="330"/>
      <c r="K498" s="330"/>
      <c r="L498" s="330"/>
      <c r="M498" s="330"/>
      <c r="N498" s="157"/>
      <c r="O498" s="137"/>
      <c r="P498" s="137"/>
    </row>
    <row r="499" spans="1:16" ht="15">
      <c r="A499" s="150"/>
      <c r="B499" s="286"/>
      <c r="C499" s="141"/>
      <c r="D499" s="141"/>
      <c r="E499" s="141"/>
      <c r="F499" s="141"/>
      <c r="G499" s="330"/>
      <c r="H499" s="330"/>
      <c r="I499" s="330"/>
      <c r="J499" s="330"/>
      <c r="K499" s="330"/>
      <c r="L499" s="330"/>
      <c r="M499" s="330"/>
      <c r="N499" s="157"/>
      <c r="O499" s="137"/>
      <c r="P499" s="137"/>
    </row>
    <row r="500" spans="1:16" ht="32.25" customHeight="1">
      <c r="A500" s="150" t="str">
        <f>'ORÇAMENTO NÃO DESONERADO'!A113</f>
        <v>5.9.2</v>
      </c>
      <c r="B500" s="1101" t="str">
        <f>'ORÇAMENTO NÃO DESONERADO'!C113</f>
        <v>ASSENTO DE CONCRETO 02, COM TIJOLO MACIÇO, ATERRO COMPACTADO, COMPRIMENTO 5,85M, ACABAMENTO COM SELANTE ACRÍLICO PARA CONCRETO APARENTE E PINTURA TEXTURIZADA ACRÍLICA NA ALVENARIA</v>
      </c>
      <c r="C500" s="1101"/>
      <c r="D500" s="1101"/>
      <c r="E500" s="1101"/>
      <c r="F500" s="1101"/>
      <c r="G500" s="1101"/>
      <c r="H500" s="1101"/>
      <c r="I500" s="1101"/>
      <c r="J500" s="1101"/>
      <c r="K500" s="1101"/>
      <c r="L500" s="1101"/>
      <c r="M500" s="1101"/>
      <c r="N500" s="1101"/>
      <c r="O500" s="137"/>
      <c r="P500" s="137"/>
    </row>
    <row r="501" spans="1:16" ht="15">
      <c r="A501" s="150"/>
      <c r="B501" s="286"/>
      <c r="C501" s="141"/>
      <c r="D501" s="141"/>
      <c r="E501" s="141"/>
      <c r="F501" s="141"/>
      <c r="G501" s="330"/>
      <c r="H501" s="330"/>
      <c r="I501" s="330"/>
      <c r="J501" s="330"/>
      <c r="K501" s="330"/>
      <c r="L501" s="330"/>
      <c r="M501" s="330"/>
      <c r="N501" s="157"/>
      <c r="O501" s="137"/>
      <c r="P501" s="137"/>
    </row>
    <row r="502" spans="1:16" ht="15">
      <c r="A502" s="150"/>
      <c r="B502" s="643" t="s">
        <v>94</v>
      </c>
      <c r="C502" s="644">
        <v>1</v>
      </c>
      <c r="D502" s="645" t="s">
        <v>437</v>
      </c>
      <c r="E502" s="141"/>
      <c r="F502" s="141"/>
      <c r="G502" s="330"/>
      <c r="H502" s="330"/>
      <c r="I502" s="330"/>
      <c r="J502" s="330"/>
      <c r="K502" s="330"/>
      <c r="L502" s="330"/>
      <c r="M502" s="330"/>
      <c r="N502" s="157"/>
      <c r="O502" s="137"/>
      <c r="P502" s="137"/>
    </row>
    <row r="503" spans="1:16" ht="12" customHeight="1">
      <c r="A503" s="150"/>
      <c r="B503" s="286"/>
      <c r="C503" s="141"/>
      <c r="D503" s="141"/>
      <c r="E503" s="141"/>
      <c r="F503" s="141"/>
      <c r="G503" s="330"/>
      <c r="H503" s="330"/>
      <c r="I503" s="330"/>
      <c r="J503" s="330"/>
      <c r="K503" s="330"/>
      <c r="L503" s="330"/>
      <c r="M503" s="330"/>
      <c r="N503" s="157"/>
      <c r="O503" s="137"/>
      <c r="P503" s="137"/>
    </row>
    <row r="504" spans="1:16" ht="30" customHeight="1">
      <c r="A504" s="150" t="str">
        <f>'ORÇAMENTO NÃO DESONERADO'!A114</f>
        <v>5.9.3</v>
      </c>
      <c r="B504" s="1101" t="str">
        <f>'ORÇAMENTO NÃO DESONERADO'!C114</f>
        <v>ASSENTO DE CONCRETO 03, COM TIJOLO MACIÇO, ATERRO COMPACTADO, COMPRIMENTO 5,15M, ACABAMENTO COM SELANTE ACRÍLICO PARA CONCRETO APARENTE E PINTURA TEXTURIZADA ACRÍLICA NA ALVENARIA</v>
      </c>
      <c r="C504" s="1101"/>
      <c r="D504" s="1101"/>
      <c r="E504" s="1101"/>
      <c r="F504" s="1101"/>
      <c r="G504" s="1101"/>
      <c r="H504" s="1101"/>
      <c r="I504" s="1101"/>
      <c r="J504" s="1101"/>
      <c r="K504" s="1101"/>
      <c r="L504" s="1101"/>
      <c r="M504" s="1101"/>
      <c r="N504" s="1101"/>
      <c r="O504" s="137"/>
      <c r="P504" s="137"/>
    </row>
    <row r="505" spans="1:16" s="183" customFormat="1" ht="15">
      <c r="A505" s="150"/>
      <c r="B505" s="286"/>
      <c r="C505" s="141"/>
      <c r="D505" s="141"/>
      <c r="E505" s="141"/>
      <c r="F505" s="141"/>
      <c r="G505" s="330"/>
      <c r="H505" s="330"/>
      <c r="I505" s="330"/>
      <c r="J505" s="330"/>
      <c r="K505" s="330"/>
      <c r="L505" s="330"/>
      <c r="M505" s="330"/>
      <c r="N505" s="157"/>
      <c r="O505" s="182"/>
      <c r="P505" s="182"/>
    </row>
    <row r="506" spans="1:16" s="183" customFormat="1" ht="15">
      <c r="A506" s="150"/>
      <c r="B506" s="643" t="s">
        <v>94</v>
      </c>
      <c r="C506" s="644">
        <v>1</v>
      </c>
      <c r="D506" s="645" t="s">
        <v>437</v>
      </c>
      <c r="E506" s="141"/>
      <c r="F506" s="141"/>
      <c r="G506" s="330"/>
      <c r="H506" s="330"/>
      <c r="I506" s="330"/>
      <c r="J506" s="330"/>
      <c r="K506" s="330"/>
      <c r="L506" s="330"/>
      <c r="M506" s="330"/>
      <c r="N506" s="157"/>
      <c r="O506" s="182"/>
      <c r="P506" s="182"/>
    </row>
    <row r="507" spans="1:16" s="183" customFormat="1" ht="15">
      <c r="A507" s="150"/>
      <c r="B507" s="286"/>
      <c r="C507" s="141"/>
      <c r="D507" s="141"/>
      <c r="E507" s="141"/>
      <c r="F507" s="141"/>
      <c r="G507" s="330"/>
      <c r="H507" s="330"/>
      <c r="I507" s="330"/>
      <c r="J507" s="330"/>
      <c r="K507" s="330"/>
      <c r="L507" s="330"/>
      <c r="M507" s="330"/>
      <c r="N507" s="157"/>
      <c r="O507" s="182"/>
      <c r="P507" s="182"/>
    </row>
    <row r="508" spans="1:14" s="741" customFormat="1" ht="15">
      <c r="A508" s="406" t="str">
        <f>'ORÇAMENTO NÃO DESONERADO'!A116</f>
        <v>5.10</v>
      </c>
      <c r="B508" s="406" t="str">
        <f>'ORÇAMENTO NÃO DESONERADO'!C116</f>
        <v>PISO</v>
      </c>
      <c r="C508" s="157"/>
      <c r="D508" s="157"/>
      <c r="E508" s="157"/>
      <c r="F508" s="157"/>
      <c r="G508" s="157"/>
      <c r="H508" s="157"/>
      <c r="I508" s="157"/>
      <c r="J508" s="157"/>
      <c r="K508" s="157"/>
      <c r="L508" s="157"/>
      <c r="M508" s="157"/>
      <c r="N508" s="141"/>
    </row>
    <row r="509" spans="1:14" s="741" customFormat="1" ht="15">
      <c r="A509" s="661" t="str">
        <f>'ORÇAMENTO NÃO DESONERADO'!A117</f>
        <v>5.10.1</v>
      </c>
      <c r="B509" s="1099" t="str">
        <f>'ORÇAMENTO NÃO DESONERADO'!C117</f>
        <v>LASTRO DE CONCRETO MAGRO, APLICADO EM PISOS OU RADIERS, ESPESSURA DE 3 CM. AF_07/2016</v>
      </c>
      <c r="C509" s="1099"/>
      <c r="D509" s="1099"/>
      <c r="E509" s="1099"/>
      <c r="F509" s="1099"/>
      <c r="G509" s="1099"/>
      <c r="H509" s="1099"/>
      <c r="I509" s="1099"/>
      <c r="J509" s="1099"/>
      <c r="K509" s="1099"/>
      <c r="L509" s="1099"/>
      <c r="M509" s="1099"/>
      <c r="N509" s="1099"/>
    </row>
    <row r="510" spans="1:14" s="741" customFormat="1" ht="31.5" customHeight="1">
      <c r="A510" s="661" t="str">
        <f>'ORÇAMENTO NÃO DESONERADO'!A118</f>
        <v>5.10.2</v>
      </c>
      <c r="B510" s="1099" t="str">
        <f>'ORÇAMENTO NÃO DESONERADO'!C118</f>
        <v>CONTRAPISO EM ARGAMASSA TRAÇO 1:4 (CIMENTO E AREIA), PREPARO MECÂNICO COM BETONEIRA 400 L, APLICADO EM ÁREAS MOLHADAS SOBRE IMPERMEABILIZAÇÃO, ESPESSURA 3CM. AF_06/2014</v>
      </c>
      <c r="C510" s="1099"/>
      <c r="D510" s="1099"/>
      <c r="E510" s="1099"/>
      <c r="F510" s="1099"/>
      <c r="G510" s="1099"/>
      <c r="H510" s="1099"/>
      <c r="I510" s="1099"/>
      <c r="J510" s="1099"/>
      <c r="K510" s="1099"/>
      <c r="L510" s="1099"/>
      <c r="M510" s="1099"/>
      <c r="N510" s="1099"/>
    </row>
    <row r="511" spans="1:14" s="741" customFormat="1" ht="12.75">
      <c r="A511" s="157"/>
      <c r="B511" s="157"/>
      <c r="C511" s="157"/>
      <c r="D511" s="157"/>
      <c r="E511" s="157"/>
      <c r="F511" s="157"/>
      <c r="G511" s="157"/>
      <c r="H511" s="157"/>
      <c r="I511" s="157"/>
      <c r="J511" s="157"/>
      <c r="K511" s="157"/>
      <c r="L511" s="157"/>
      <c r="M511" s="157"/>
      <c r="N511" s="141"/>
    </row>
    <row r="512" spans="1:14" s="741" customFormat="1" ht="15">
      <c r="A512" s="157"/>
      <c r="B512" s="286"/>
      <c r="C512" s="149" t="s">
        <v>682</v>
      </c>
      <c r="D512" s="149"/>
      <c r="E512" s="149" t="s">
        <v>290</v>
      </c>
      <c r="F512" s="149"/>
      <c r="G512" s="266" t="s">
        <v>201</v>
      </c>
      <c r="H512" s="157"/>
      <c r="I512" s="157"/>
      <c r="J512" s="157"/>
      <c r="K512" s="157"/>
      <c r="L512" s="157"/>
      <c r="M512" s="157"/>
      <c r="N512" s="738"/>
    </row>
    <row r="513" spans="1:14" s="741" customFormat="1" ht="15">
      <c r="A513" s="157"/>
      <c r="B513" s="141" t="s">
        <v>161</v>
      </c>
      <c r="C513" s="149">
        <v>114.62</v>
      </c>
      <c r="D513" s="149" t="s">
        <v>93</v>
      </c>
      <c r="E513" s="153">
        <v>3.75</v>
      </c>
      <c r="F513" s="149" t="s">
        <v>93</v>
      </c>
      <c r="G513" s="326">
        <v>8</v>
      </c>
      <c r="H513" s="157"/>
      <c r="I513" s="157"/>
      <c r="J513" s="157"/>
      <c r="K513" s="157"/>
      <c r="L513" s="157"/>
      <c r="M513" s="157"/>
      <c r="N513" s="738"/>
    </row>
    <row r="514" spans="1:14" s="741" customFormat="1" ht="15">
      <c r="A514" s="157"/>
      <c r="B514" s="141"/>
      <c r="C514" s="141"/>
      <c r="D514" s="141"/>
      <c r="E514" s="141"/>
      <c r="F514" s="141"/>
      <c r="G514" s="157"/>
      <c r="H514" s="157"/>
      <c r="I514" s="157"/>
      <c r="J514" s="157"/>
      <c r="K514" s="157"/>
      <c r="L514" s="157"/>
      <c r="M514" s="157"/>
      <c r="N514" s="738"/>
    </row>
    <row r="515" spans="1:14" s="741" customFormat="1" ht="15" customHeight="1">
      <c r="A515" s="157"/>
      <c r="B515" s="643" t="s">
        <v>161</v>
      </c>
      <c r="C515" s="644">
        <f>C513+E513+G513</f>
        <v>126.37</v>
      </c>
      <c r="D515" s="645" t="s">
        <v>2</v>
      </c>
      <c r="E515" s="282"/>
      <c r="F515" s="141"/>
      <c r="G515" s="157"/>
      <c r="H515" s="157"/>
      <c r="I515" s="157"/>
      <c r="J515" s="157"/>
      <c r="K515" s="157"/>
      <c r="L515" s="157"/>
      <c r="M515" s="157"/>
      <c r="N515" s="157"/>
    </row>
    <row r="516" spans="1:14" s="270" customFormat="1" ht="14.25" customHeight="1">
      <c r="A516" s="157"/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</row>
    <row r="517" spans="1:14" s="270" customFormat="1" ht="15">
      <c r="A517" s="661" t="str">
        <f>'ORÇAMENTO NÃO DESONERADO'!A119</f>
        <v>5.10.3</v>
      </c>
      <c r="B517" s="1123" t="str">
        <f>'ORÇAMENTO NÃO DESONERADO'!C119</f>
        <v>REVESTIMENTO CERÂMICO PARA PISO COM PLACAS TIPO ESMALTADA EXTRA DE DIMENSÕES 35X35 CM APLICADA EM AMBIENTES DE ÁREA ENTRE 5 M2 E 10 M2. AF_06/2014</v>
      </c>
      <c r="C517" s="1123"/>
      <c r="D517" s="1123"/>
      <c r="E517" s="1123"/>
      <c r="F517" s="1123"/>
      <c r="G517" s="1123"/>
      <c r="H517" s="1123"/>
      <c r="I517" s="1123"/>
      <c r="J517" s="1123"/>
      <c r="K517" s="1123"/>
      <c r="L517" s="1123"/>
      <c r="M517" s="1123"/>
      <c r="N517" s="1123"/>
    </row>
    <row r="518" spans="1:14" s="270" customFormat="1" ht="15">
      <c r="A518" s="661"/>
      <c r="B518" s="1123"/>
      <c r="C518" s="1123"/>
      <c r="D518" s="1123"/>
      <c r="E518" s="1123"/>
      <c r="F518" s="1123"/>
      <c r="G518" s="1123"/>
      <c r="H518" s="1123"/>
      <c r="I518" s="1123"/>
      <c r="J518" s="1123"/>
      <c r="K518" s="1123"/>
      <c r="L518" s="1123"/>
      <c r="M518" s="1123"/>
      <c r="N518" s="1123"/>
    </row>
    <row r="519" spans="1:14" s="270" customFormat="1" ht="12.75">
      <c r="A519" s="157"/>
      <c r="B519" s="157"/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</row>
    <row r="520" spans="1:14" s="270" customFormat="1" ht="15" customHeight="1">
      <c r="A520" s="157"/>
      <c r="B520" s="286"/>
      <c r="C520" s="149" t="s">
        <v>290</v>
      </c>
      <c r="D520" s="149"/>
      <c r="E520" s="266" t="s">
        <v>201</v>
      </c>
      <c r="F520" s="149"/>
      <c r="G520" s="266"/>
      <c r="H520" s="157"/>
      <c r="I520" s="157"/>
      <c r="J520" s="157"/>
      <c r="K520" s="157"/>
      <c r="L520" s="157"/>
      <c r="M520" s="157"/>
      <c r="N520" s="157"/>
    </row>
    <row r="521" spans="1:14" s="270" customFormat="1" ht="14.25" customHeight="1">
      <c r="A521" s="157"/>
      <c r="B521" s="141" t="s">
        <v>161</v>
      </c>
      <c r="C521" s="153">
        <v>3.75</v>
      </c>
      <c r="D521" s="149" t="s">
        <v>93</v>
      </c>
      <c r="E521" s="326">
        <v>8</v>
      </c>
      <c r="F521" s="149"/>
      <c r="G521" s="326"/>
      <c r="H521" s="157"/>
      <c r="I521" s="157"/>
      <c r="J521" s="157"/>
      <c r="K521" s="157"/>
      <c r="L521" s="157"/>
      <c r="M521" s="157"/>
      <c r="N521" s="157"/>
    </row>
    <row r="522" spans="1:14" s="270" customFormat="1" ht="12.75">
      <c r="A522" s="157"/>
      <c r="B522" s="141"/>
      <c r="C522" s="141"/>
      <c r="D522" s="141"/>
      <c r="E522" s="141"/>
      <c r="F522" s="141"/>
      <c r="G522" s="157"/>
      <c r="H522" s="157"/>
      <c r="I522" s="157"/>
      <c r="J522" s="157"/>
      <c r="K522" s="157"/>
      <c r="L522" s="157"/>
      <c r="M522" s="157"/>
      <c r="N522" s="157"/>
    </row>
    <row r="523" spans="1:14" s="270" customFormat="1" ht="12.75">
      <c r="A523" s="157"/>
      <c r="B523" s="643" t="s">
        <v>161</v>
      </c>
      <c r="C523" s="644">
        <f>C521+E521</f>
        <v>11.75</v>
      </c>
      <c r="D523" s="645" t="s">
        <v>2</v>
      </c>
      <c r="E523" s="282"/>
      <c r="F523" s="141"/>
      <c r="G523" s="157"/>
      <c r="H523" s="157"/>
      <c r="I523" s="157"/>
      <c r="J523" s="157"/>
      <c r="K523" s="157"/>
      <c r="L523" s="157"/>
      <c r="M523" s="157"/>
      <c r="N523" s="157"/>
    </row>
    <row r="524" spans="1:14" s="270" customFormat="1" ht="12.75">
      <c r="A524" s="157"/>
      <c r="B524" s="157"/>
      <c r="C524" s="157"/>
      <c r="D524" s="157"/>
      <c r="E524" s="157"/>
      <c r="F524" s="157"/>
      <c r="G524" s="157"/>
      <c r="H524" s="157"/>
      <c r="I524" s="157"/>
      <c r="J524" s="157"/>
      <c r="K524" s="157"/>
      <c r="L524" s="157"/>
      <c r="M524" s="157"/>
      <c r="N524" s="141"/>
    </row>
    <row r="525" spans="1:14" s="270" customFormat="1" ht="15">
      <c r="A525" s="661" t="str">
        <f>'ORÇAMENTO NÃO DESONERADO'!A120</f>
        <v>5.10.4</v>
      </c>
      <c r="B525" s="1099" t="str">
        <f>'ORÇAMENTO NÃO DESONERADO'!C120</f>
        <v>PISO INDUSTRIAL ALTA RESISTENCIA, ESPESSURA 12MM, INCLUSO JUNTAS DE DILATACAO PLASTICAS E POLIMENTO MECANIZADO</v>
      </c>
      <c r="C525" s="1099"/>
      <c r="D525" s="1099"/>
      <c r="E525" s="1099"/>
      <c r="F525" s="1099"/>
      <c r="G525" s="1099"/>
      <c r="H525" s="1099"/>
      <c r="I525" s="1099"/>
      <c r="J525" s="1099"/>
      <c r="K525" s="1099"/>
      <c r="L525" s="1099"/>
      <c r="M525" s="1099"/>
      <c r="N525" s="1099"/>
    </row>
    <row r="526" spans="1:14" s="270" customFormat="1" ht="14.25" customHeight="1">
      <c r="A526" s="157"/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</row>
    <row r="527" spans="1:14" s="270" customFormat="1" ht="15">
      <c r="A527" s="157"/>
      <c r="B527" s="286"/>
      <c r="C527" s="149" t="s">
        <v>202</v>
      </c>
      <c r="D527" s="149"/>
      <c r="E527" s="149"/>
      <c r="F527" s="149"/>
      <c r="G527" s="266"/>
      <c r="H527" s="157"/>
      <c r="I527" s="157"/>
      <c r="J527" s="157"/>
      <c r="K527" s="157"/>
      <c r="L527" s="157"/>
      <c r="M527" s="157"/>
      <c r="N527" s="157"/>
    </row>
    <row r="528" spans="1:14" s="270" customFormat="1" ht="12.75">
      <c r="A528" s="157"/>
      <c r="B528" s="141" t="s">
        <v>161</v>
      </c>
      <c r="C528" s="149">
        <v>114.62</v>
      </c>
      <c r="D528" s="149"/>
      <c r="E528" s="153"/>
      <c r="F528" s="149"/>
      <c r="G528" s="326"/>
      <c r="H528" s="157"/>
      <c r="I528" s="157"/>
      <c r="J528" s="157"/>
      <c r="K528" s="157"/>
      <c r="L528" s="157"/>
      <c r="M528" s="157"/>
      <c r="N528" s="157"/>
    </row>
    <row r="529" spans="1:14" s="270" customFormat="1" ht="12.75">
      <c r="A529" s="157"/>
      <c r="B529" s="141"/>
      <c r="C529" s="141"/>
      <c r="D529" s="141"/>
      <c r="E529" s="141"/>
      <c r="F529" s="141"/>
      <c r="G529" s="157"/>
      <c r="H529" s="157"/>
      <c r="I529" s="157"/>
      <c r="J529" s="157"/>
      <c r="K529" s="157"/>
      <c r="L529" s="157"/>
      <c r="M529" s="157"/>
      <c r="N529" s="157"/>
    </row>
    <row r="530" spans="1:14" s="270" customFormat="1" ht="15" customHeight="1">
      <c r="A530" s="157"/>
      <c r="B530" s="643" t="s">
        <v>161</v>
      </c>
      <c r="C530" s="644">
        <f>C528</f>
        <v>114.62</v>
      </c>
      <c r="D530" s="645" t="s">
        <v>2</v>
      </c>
      <c r="E530" s="282"/>
      <c r="F530" s="141"/>
      <c r="G530" s="157"/>
      <c r="H530" s="157"/>
      <c r="I530" s="157"/>
      <c r="J530" s="157"/>
      <c r="K530" s="157"/>
      <c r="L530" s="157"/>
      <c r="M530" s="157"/>
      <c r="N530" s="157"/>
    </row>
    <row r="531" spans="1:14" s="270" customFormat="1" ht="14.25" customHeight="1">
      <c r="A531" s="157"/>
      <c r="B531" s="157"/>
      <c r="C531" s="157"/>
      <c r="D531" s="157"/>
      <c r="E531" s="157"/>
      <c r="F531" s="157"/>
      <c r="G531" s="157"/>
      <c r="H531" s="157"/>
      <c r="I531" s="157"/>
      <c r="J531" s="157"/>
      <c r="K531" s="157"/>
      <c r="L531" s="157"/>
      <c r="M531" s="157"/>
      <c r="N531" s="141"/>
    </row>
    <row r="532" spans="1:14" s="270" customFormat="1" ht="15">
      <c r="A532" s="406" t="str">
        <f>'ORÇAMENTO NÃO DESONERADO'!A122</f>
        <v>5.11</v>
      </c>
      <c r="B532" s="406" t="str">
        <f>'ORÇAMENTO NÃO DESONERADO'!C122</f>
        <v>ESQUADRIAS</v>
      </c>
      <c r="C532" s="157"/>
      <c r="D532" s="157"/>
      <c r="E532" s="157"/>
      <c r="F532" s="157"/>
      <c r="G532" s="157"/>
      <c r="H532" s="157"/>
      <c r="I532" s="157"/>
      <c r="J532" s="157"/>
      <c r="K532" s="157"/>
      <c r="L532" s="157"/>
      <c r="M532" s="157"/>
      <c r="N532" s="141"/>
    </row>
    <row r="533" spans="1:14" ht="32.25" customHeight="1">
      <c r="A533" s="406" t="str">
        <f>'ORÇAMENTO NÃO DESONERADO'!A123</f>
        <v>5.11.1</v>
      </c>
      <c r="B533" s="1123" t="str">
        <f>'ORÇAMENTO NÃO DESONERADO'!C123</f>
        <v>B-1 (2,80x0,60M) - BALANCIN TIPO MAXIM-AR COM VIDROS, BATENTE E FERRAGENS. EXCLUSIVE ALIZAR, ACABAMENTO E CONTRAMARCO. INCLUSIVE PEITORIL EM MÁRMORE, 15CM, VERGA E CONTRAVERGA - FORNECIMENTO E INSTALAÇÃO. AF_12/2019</v>
      </c>
      <c r="C533" s="1123"/>
      <c r="D533" s="1123"/>
      <c r="E533" s="1123"/>
      <c r="F533" s="1123"/>
      <c r="G533" s="1123"/>
      <c r="H533" s="1123"/>
      <c r="I533" s="1123"/>
      <c r="J533" s="1123"/>
      <c r="K533" s="1123"/>
      <c r="L533" s="1123"/>
      <c r="M533" s="1123"/>
      <c r="N533" s="1123"/>
    </row>
    <row r="534" spans="1:14" ht="29.25" customHeight="1">
      <c r="A534" s="406" t="str">
        <f>'ORÇAMENTO NÃO DESONERADO'!A124</f>
        <v>5.11.2</v>
      </c>
      <c r="B534" s="1123" t="str">
        <f>'ORÇAMENTO NÃO DESONERADO'!C124</f>
        <v>B-2 (0,80x0,60M) - BALANCIN TIPO MAXIM-AR COM VIDROS, BATENTE E FERRAGENS. EXCLUSIVE ALIZAR, ACABAMENTO E CONTRAMARCO. INCLUSIVE PEITORIL EM MÁRMORE, 15CM, VERGA E CONTRAVERGA - FORNECIMENTO E INSTALAÇÃO. AF_12/2019</v>
      </c>
      <c r="C534" s="1123"/>
      <c r="D534" s="1123"/>
      <c r="E534" s="1123"/>
      <c r="F534" s="1123"/>
      <c r="G534" s="1123"/>
      <c r="H534" s="1123"/>
      <c r="I534" s="1123"/>
      <c r="J534" s="1123"/>
      <c r="K534" s="1123"/>
      <c r="L534" s="1123"/>
      <c r="M534" s="1123"/>
      <c r="N534" s="1123"/>
    </row>
    <row r="535" spans="1:14" ht="15">
      <c r="A535" s="406"/>
      <c r="B535" s="740"/>
      <c r="C535" s="740"/>
      <c r="D535" s="740"/>
      <c r="E535" s="740"/>
      <c r="F535" s="740"/>
      <c r="G535" s="740"/>
      <c r="H535" s="740"/>
      <c r="I535" s="740"/>
      <c r="J535" s="740"/>
      <c r="K535" s="740"/>
      <c r="L535" s="740"/>
      <c r="M535" s="740"/>
      <c r="N535" s="740"/>
    </row>
    <row r="536" spans="2:14" ht="15">
      <c r="B536" s="266" t="s">
        <v>700</v>
      </c>
      <c r="C536" s="286" t="s">
        <v>702</v>
      </c>
      <c r="D536" s="740"/>
      <c r="E536" s="740"/>
      <c r="F536" s="740"/>
      <c r="G536" s="740"/>
      <c r="H536" s="740"/>
      <c r="I536" s="740"/>
      <c r="J536" s="740"/>
      <c r="K536" s="740"/>
      <c r="L536" s="740"/>
      <c r="M536" s="740"/>
      <c r="N536" s="740"/>
    </row>
    <row r="537" spans="2:14" ht="15">
      <c r="B537" s="748" t="s">
        <v>701</v>
      </c>
      <c r="C537" s="286" t="s">
        <v>703</v>
      </c>
      <c r="D537" s="141"/>
      <c r="E537" s="141"/>
      <c r="F537" s="141"/>
      <c r="G537" s="151"/>
      <c r="H537" s="151"/>
      <c r="I537" s="141"/>
      <c r="J537" s="141"/>
      <c r="K537" s="141"/>
      <c r="L537" s="311"/>
      <c r="M537" s="311"/>
      <c r="N537" s="282"/>
    </row>
    <row r="538" spans="2:14" ht="15">
      <c r="B538" s="748" t="s">
        <v>717</v>
      </c>
      <c r="C538" s="286" t="s">
        <v>718</v>
      </c>
      <c r="D538" s="141"/>
      <c r="E538" s="141"/>
      <c r="F538" s="141"/>
      <c r="G538" s="151"/>
      <c r="H538" s="151"/>
      <c r="I538" s="141"/>
      <c r="J538" s="141"/>
      <c r="K538" s="141"/>
      <c r="L538" s="739"/>
      <c r="M538" s="739"/>
      <c r="N538" s="282"/>
    </row>
    <row r="539" spans="1:14" ht="15">
      <c r="A539" s="176"/>
      <c r="B539" s="150"/>
      <c r="C539" s="643" t="s">
        <v>162</v>
      </c>
      <c r="D539" s="644">
        <v>1</v>
      </c>
      <c r="E539" s="645" t="s">
        <v>437</v>
      </c>
      <c r="F539" s="282"/>
      <c r="G539" s="141"/>
      <c r="H539" s="141"/>
      <c r="I539" s="141"/>
      <c r="J539" s="141"/>
      <c r="K539" s="141"/>
      <c r="L539" s="311"/>
      <c r="M539" s="311"/>
      <c r="N539" s="383"/>
    </row>
    <row r="540" spans="2:14" ht="12.75">
      <c r="B540" s="157"/>
      <c r="F540" s="157"/>
      <c r="G540" s="157"/>
      <c r="H540" s="157"/>
      <c r="I540" s="157"/>
      <c r="J540" s="157"/>
      <c r="K540" s="157"/>
      <c r="L540" s="157"/>
      <c r="M540" s="157"/>
      <c r="N540" s="282"/>
    </row>
    <row r="541" spans="1:14" ht="15">
      <c r="A541" s="89" t="str">
        <f>'ORÇAMENTO NÃO DESONERADO'!A126</f>
        <v>5.11.4</v>
      </c>
      <c r="B541" s="1122" t="str">
        <f>'ORÇAMENTO NÃO DESONERADO'!C126</f>
        <v>DIVISORIA EM GRANITO BRANCO POLIDO, ESP = 3CM, ASSENTADO COM ARGAMASSA TRACO 1:4, ARREMATE EM CIMENTO BRANCO, EXCLUSIVE FERRAGENS</v>
      </c>
      <c r="C541" s="1122"/>
      <c r="D541" s="1122"/>
      <c r="E541" s="1122"/>
      <c r="F541" s="1122"/>
      <c r="G541" s="1122"/>
      <c r="H541" s="1122"/>
      <c r="I541" s="1122"/>
      <c r="J541" s="1122"/>
      <c r="K541" s="1122"/>
      <c r="L541" s="1122"/>
      <c r="M541" s="1122"/>
      <c r="N541" s="1122"/>
    </row>
    <row r="542" spans="2:14" ht="12.75">
      <c r="B542" s="1122"/>
      <c r="C542" s="1122"/>
      <c r="D542" s="1122"/>
      <c r="E542" s="1122"/>
      <c r="F542" s="1122"/>
      <c r="G542" s="1122"/>
      <c r="H542" s="1122"/>
      <c r="I542" s="1122"/>
      <c r="J542" s="1122"/>
      <c r="K542" s="1122"/>
      <c r="L542" s="1122"/>
      <c r="M542" s="1122"/>
      <c r="N542" s="1122"/>
    </row>
    <row r="543" spans="3:14" ht="12.75">
      <c r="C543" s="184" t="s">
        <v>390</v>
      </c>
      <c r="D543" s="184"/>
      <c r="E543" s="184" t="s">
        <v>391</v>
      </c>
      <c r="G543" s="24" t="s">
        <v>263</v>
      </c>
      <c r="N543" s="137"/>
    </row>
    <row r="544" spans="3:14" ht="12.75">
      <c r="C544" s="168">
        <v>1.5</v>
      </c>
      <c r="D544" s="168" t="s">
        <v>264</v>
      </c>
      <c r="E544" s="168">
        <v>2.1</v>
      </c>
      <c r="F544" s="168" t="s">
        <v>29</v>
      </c>
      <c r="G544" s="168">
        <f>ROUND((C544*E544),2)</f>
        <v>3.15</v>
      </c>
      <c r="N544" s="137"/>
    </row>
    <row r="545" ht="12.75">
      <c r="N545" s="137"/>
    </row>
    <row r="546" spans="3:14" ht="12.75">
      <c r="C546" s="643" t="s">
        <v>92</v>
      </c>
      <c r="D546" s="644">
        <f>G544</f>
        <v>3.15</v>
      </c>
      <c r="E546" s="645" t="s">
        <v>63</v>
      </c>
      <c r="N546" s="137"/>
    </row>
    <row r="547" ht="15" customHeight="1">
      <c r="N547" s="137"/>
    </row>
    <row r="548" spans="1:14" ht="15">
      <c r="A548" s="89" t="str">
        <f>'ORÇAMENTO NÃO DESONERADO'!A129</f>
        <v>5.12</v>
      </c>
      <c r="B548" s="89" t="str">
        <f>'ORÇAMENTO NÃO DESONERADO'!C129</f>
        <v>PINTURA</v>
      </c>
      <c r="C548" s="89"/>
      <c r="N548" s="137"/>
    </row>
    <row r="549" spans="1:14" ht="15">
      <c r="A549" s="89" t="str">
        <f>'ORÇAMENTO NÃO DESONERADO'!A130</f>
        <v>5.12.1</v>
      </c>
      <c r="B549" s="89" t="str">
        <f>'ORÇAMENTO NÃO DESONERADO'!C130</f>
        <v>APLICAÇÃO MANUAL DE MASSA ACRÍLICA EM PAREDES EXTERNAS DE CASAS, DUAS DEMÃOS. AF_05/2017</v>
      </c>
      <c r="C549" s="89"/>
      <c r="N549" s="137"/>
    </row>
    <row r="550" spans="1:14" ht="15">
      <c r="A550" s="89" t="str">
        <f>'ORÇAMENTO NÃO DESONERADO'!A131</f>
        <v>5.12.2</v>
      </c>
      <c r="B550" s="89" t="str">
        <f>'ORÇAMENTO NÃO DESONERADO'!C131</f>
        <v>APLICAÇÃO MANUAL DE PINTURA COM TINTA LÁTEX ACRÍLICA EM PAREDES, DUAS DEMÃOS. AF_06/2014</v>
      </c>
      <c r="C550" s="89"/>
      <c r="N550" s="166"/>
    </row>
    <row r="551" spans="1:14" s="270" customFormat="1" ht="15">
      <c r="A551" s="157"/>
      <c r="B551" s="406"/>
      <c r="C551" s="406"/>
      <c r="D551" s="157"/>
      <c r="E551" s="157"/>
      <c r="F551" s="157"/>
      <c r="G551" s="157"/>
      <c r="H551" s="157"/>
      <c r="I551" s="157"/>
      <c r="J551" s="157"/>
      <c r="K551" s="157"/>
      <c r="L551" s="157"/>
      <c r="M551" s="157"/>
      <c r="N551" s="383"/>
    </row>
    <row r="552" spans="1:14" s="368" customFormat="1" ht="15">
      <c r="A552" s="760" t="s">
        <v>710</v>
      </c>
      <c r="B552" s="395"/>
      <c r="C552" s="395"/>
      <c r="D552" s="395"/>
      <c r="E552" s="395"/>
      <c r="F552" s="395"/>
      <c r="G552" s="393" t="str">
        <f>A465</f>
        <v>5.8.1</v>
      </c>
      <c r="H552" s="395"/>
      <c r="I552" s="395"/>
      <c r="J552" s="395"/>
      <c r="K552" s="395"/>
      <c r="L552" s="395"/>
      <c r="M552" s="395"/>
      <c r="N552" s="74"/>
    </row>
    <row r="553" spans="1:14" s="270" customFormat="1" ht="15">
      <c r="A553" s="749"/>
      <c r="B553" s="750"/>
      <c r="C553" s="643" t="s">
        <v>162</v>
      </c>
      <c r="D553" s="644">
        <f>C489</f>
        <v>252.89</v>
      </c>
      <c r="E553" s="645" t="s">
        <v>63</v>
      </c>
      <c r="F553" s="750"/>
      <c r="G553" s="750"/>
      <c r="H553" s="750"/>
      <c r="I553" s="395"/>
      <c r="J553" s="395"/>
      <c r="K553" s="395"/>
      <c r="L553" s="395"/>
      <c r="M553" s="395"/>
      <c r="N553" s="74"/>
    </row>
    <row r="554" spans="1:14" s="270" customFormat="1" ht="15">
      <c r="A554" s="749"/>
      <c r="B554" s="751"/>
      <c r="C554" s="751"/>
      <c r="D554" s="394"/>
      <c r="E554" s="149"/>
      <c r="F554" s="394"/>
      <c r="G554" s="752"/>
      <c r="H554" s="750"/>
      <c r="I554" s="395"/>
      <c r="J554" s="395"/>
      <c r="K554" s="395"/>
      <c r="L554" s="395"/>
      <c r="M554" s="395"/>
      <c r="N554" s="74"/>
    </row>
    <row r="555" spans="1:14" s="270" customFormat="1" ht="15">
      <c r="A555" s="753" t="str">
        <f>'ORÇAMENTO NÃO DESONERADO'!A133</f>
        <v>5.13</v>
      </c>
      <c r="B555" s="754" t="str">
        <f>'ORÇAMENTO NÃO DESONERADO'!C133</f>
        <v>INSTALAÇÕES ELÉTRICAS</v>
      </c>
      <c r="C555" s="754"/>
      <c r="D555" s="754"/>
      <c r="E555" s="754"/>
      <c r="F555" s="754"/>
      <c r="G555" s="754"/>
      <c r="H555" s="754"/>
      <c r="I555" s="754"/>
      <c r="J555" s="754"/>
      <c r="K555" s="754"/>
      <c r="L555" s="754"/>
      <c r="M555" s="754"/>
      <c r="N555" s="755"/>
    </row>
    <row r="556" spans="1:14" s="270" customFormat="1" ht="15">
      <c r="A556" s="753" t="str">
        <f>'ORÇAMENTO NÃO DESONERADO'!A134</f>
        <v>5.13.1</v>
      </c>
      <c r="B556" s="754" t="str">
        <f>'ORÇAMENTO NÃO DESONERADO'!C134</f>
        <v>LUMINÁRIA TIPO CALHA, DE SOBREPOR, COM 2 LÂMPADAS TUBULARES DE 36 W - FORNECIMENTO E INSTALAÇÃO. AF_11/2017</v>
      </c>
      <c r="C556" s="750"/>
      <c r="D556" s="394"/>
      <c r="E556" s="316"/>
      <c r="F556" s="394"/>
      <c r="G556" s="394"/>
      <c r="H556" s="750"/>
      <c r="I556" s="750"/>
      <c r="J556" s="750"/>
      <c r="K556" s="750"/>
      <c r="L556" s="750"/>
      <c r="M556" s="750"/>
      <c r="N556" s="655"/>
    </row>
    <row r="557" spans="1:14" s="270" customFormat="1" ht="15">
      <c r="A557" s="756"/>
      <c r="B557" s="750"/>
      <c r="C557" s="750"/>
      <c r="D557" s="750"/>
      <c r="E557" s="750"/>
      <c r="F557" s="750"/>
      <c r="G557" s="750"/>
      <c r="H557" s="750"/>
      <c r="I557" s="750"/>
      <c r="J557" s="750"/>
      <c r="K557" s="750"/>
      <c r="L557" s="750"/>
      <c r="M557" s="750"/>
      <c r="N557" s="655"/>
    </row>
    <row r="558" spans="1:14" s="270" customFormat="1" ht="15">
      <c r="A558" s="756"/>
      <c r="B558" s="394"/>
      <c r="C558" s="643" t="s">
        <v>162</v>
      </c>
      <c r="D558" s="644">
        <v>2</v>
      </c>
      <c r="E558" s="645" t="s">
        <v>211</v>
      </c>
      <c r="F558" s="750"/>
      <c r="G558" s="750"/>
      <c r="H558" s="750"/>
      <c r="I558" s="750"/>
      <c r="J558" s="750"/>
      <c r="K558" s="750"/>
      <c r="L558" s="750"/>
      <c r="M558" s="750"/>
      <c r="N558" s="655"/>
    </row>
    <row r="559" spans="1:14" s="270" customFormat="1" ht="15">
      <c r="A559" s="756"/>
      <c r="B559" s="750"/>
      <c r="C559" s="750"/>
      <c r="D559" s="750"/>
      <c r="E559" s="750"/>
      <c r="F559" s="750"/>
      <c r="G559" s="750"/>
      <c r="H559" s="750"/>
      <c r="I559" s="750"/>
      <c r="J559" s="750"/>
      <c r="K559" s="750"/>
      <c r="L559" s="750"/>
      <c r="M559" s="750"/>
      <c r="N559" s="655"/>
    </row>
    <row r="560" spans="1:14" s="270" customFormat="1" ht="15" customHeight="1">
      <c r="A560" s="763" t="str">
        <f>'ORÇAMENTO NÃO DESONERADO'!A135</f>
        <v>5.13.2</v>
      </c>
      <c r="B560" s="757" t="str">
        <f>'ORÇAMENTO NÃO DESONERADO'!C135</f>
        <v>LUMINÁRIA TIPO CALHA, DE SOBREPOR, COM 1 LÂMPADA TUBULAR DE 18 W - FORNECIMENTO E INSTALAÇÃO. AF_11/2017</v>
      </c>
      <c r="C560" s="757"/>
      <c r="D560" s="757"/>
      <c r="E560" s="757"/>
      <c r="F560" s="757"/>
      <c r="G560" s="757"/>
      <c r="H560" s="757"/>
      <c r="I560" s="757"/>
      <c r="J560" s="757"/>
      <c r="K560" s="757"/>
      <c r="L560" s="757"/>
      <c r="M560" s="757"/>
      <c r="N560" s="757"/>
    </row>
    <row r="561" spans="1:14" s="270" customFormat="1" ht="12.75">
      <c r="A561" s="656"/>
      <c r="B561" s="655"/>
      <c r="C561" s="655"/>
      <c r="D561" s="655"/>
      <c r="E561" s="655"/>
      <c r="F561" s="655"/>
      <c r="G561" s="655"/>
      <c r="H561" s="655"/>
      <c r="I561" s="655"/>
      <c r="J561" s="655"/>
      <c r="K561" s="655"/>
      <c r="L561" s="655"/>
      <c r="M561" s="655"/>
      <c r="N561" s="655"/>
    </row>
    <row r="562" spans="1:14" s="270" customFormat="1" ht="12.75">
      <c r="A562" s="656"/>
      <c r="B562" s="655"/>
      <c r="C562" s="643" t="s">
        <v>162</v>
      </c>
      <c r="D562" s="644">
        <v>22</v>
      </c>
      <c r="E562" s="645" t="s">
        <v>211</v>
      </c>
      <c r="F562" s="655"/>
      <c r="G562" s="655"/>
      <c r="H562" s="655"/>
      <c r="I562" s="655"/>
      <c r="J562" s="655"/>
      <c r="K562" s="655"/>
      <c r="L562" s="655"/>
      <c r="M562" s="655"/>
      <c r="N562" s="655"/>
    </row>
    <row r="563" spans="1:14" s="270" customFormat="1" ht="12.75">
      <c r="A563" s="656"/>
      <c r="B563" s="655"/>
      <c r="C563" s="655"/>
      <c r="D563" s="655"/>
      <c r="E563" s="655"/>
      <c r="F563" s="655"/>
      <c r="G563" s="655"/>
      <c r="H563" s="655"/>
      <c r="I563" s="655"/>
      <c r="J563" s="655"/>
      <c r="K563" s="655"/>
      <c r="L563" s="655"/>
      <c r="M563" s="655"/>
      <c r="N563" s="655"/>
    </row>
    <row r="564" spans="1:14" s="270" customFormat="1" ht="12.75">
      <c r="A564" s="656"/>
      <c r="B564" s="394"/>
      <c r="C564" s="394"/>
      <c r="D564" s="394"/>
      <c r="E564" s="655"/>
      <c r="F564" s="655"/>
      <c r="G564" s="655"/>
      <c r="H564" s="655"/>
      <c r="I564" s="655"/>
      <c r="J564" s="655"/>
      <c r="K564" s="655"/>
      <c r="L564" s="655"/>
      <c r="M564" s="655"/>
      <c r="N564" s="655"/>
    </row>
    <row r="565" spans="1:14" s="270" customFormat="1" ht="15">
      <c r="A565" s="764" t="str">
        <f>'ORÇAMENTO NÃO DESONERADO'!A136</f>
        <v>5.13.3</v>
      </c>
      <c r="B565" s="755" t="str">
        <f>'ORÇAMENTO NÃO DESONERADO'!C136</f>
        <v>TOMADA MÉDIA DE EMBUTIR (1 MÓDULO), 2P+T 10 A, INCLUINDO SUPORTE E PLACA - FORNECIMENTO E INSTALAÇÃO. AF_12/2015</v>
      </c>
      <c r="C565" s="655"/>
      <c r="D565" s="655"/>
      <c r="E565" s="655"/>
      <c r="F565" s="655"/>
      <c r="G565" s="655"/>
      <c r="H565" s="655"/>
      <c r="I565" s="655"/>
      <c r="J565" s="655"/>
      <c r="K565" s="655"/>
      <c r="L565" s="655"/>
      <c r="M565" s="655"/>
      <c r="N565" s="655"/>
    </row>
    <row r="566" spans="1:14" s="270" customFormat="1" ht="15">
      <c r="A566" s="765"/>
      <c r="B566" s="758"/>
      <c r="C566" s="758"/>
      <c r="D566" s="758"/>
      <c r="E566" s="758"/>
      <c r="F566" s="758"/>
      <c r="G566" s="758"/>
      <c r="H566" s="758"/>
      <c r="I566" s="758"/>
      <c r="J566" s="758"/>
      <c r="K566" s="758"/>
      <c r="L566" s="758"/>
      <c r="M566" s="758"/>
      <c r="N566" s="655"/>
    </row>
    <row r="567" spans="1:14" s="270" customFormat="1" ht="12.75">
      <c r="A567" s="656"/>
      <c r="B567" s="655"/>
      <c r="C567" s="643" t="s">
        <v>162</v>
      </c>
      <c r="D567" s="644">
        <v>5</v>
      </c>
      <c r="E567" s="645" t="s">
        <v>211</v>
      </c>
      <c r="F567" s="655"/>
      <c r="G567" s="655"/>
      <c r="H567" s="655"/>
      <c r="I567" s="655"/>
      <c r="J567" s="655"/>
      <c r="K567" s="655"/>
      <c r="L567" s="655"/>
      <c r="M567" s="655"/>
      <c r="N567" s="655"/>
    </row>
    <row r="568" spans="1:14" s="270" customFormat="1" ht="12.75">
      <c r="A568" s="656"/>
      <c r="B568" s="655"/>
      <c r="C568" s="655"/>
      <c r="D568" s="655"/>
      <c r="E568" s="655"/>
      <c r="F568" s="655"/>
      <c r="G568" s="655"/>
      <c r="H568" s="655"/>
      <c r="I568" s="655"/>
      <c r="J568" s="655"/>
      <c r="K568" s="655"/>
      <c r="L568" s="655"/>
      <c r="M568" s="655"/>
      <c r="N568" s="655"/>
    </row>
    <row r="569" spans="1:14" s="270" customFormat="1" ht="15" customHeight="1">
      <c r="A569" s="764" t="str">
        <f>'ORÇAMENTO NÃO DESONERADO'!A137</f>
        <v>5.13.4</v>
      </c>
      <c r="B569" s="767" t="str">
        <f>'ORÇAMENTO NÃO DESONERADO'!C137</f>
        <v>INTERRUPTOR SIMPLES (2 MÓDULOS), 10A/250V, INCLUINDO SUPORTE E PLACA - FORNECIMENTO E INSTALAÇÃO. AF_12/2015</v>
      </c>
      <c r="C569" s="767"/>
      <c r="D569" s="767"/>
      <c r="E569" s="767"/>
      <c r="F569" s="767"/>
      <c r="G569" s="767"/>
      <c r="H569" s="767"/>
      <c r="I569" s="767"/>
      <c r="J569" s="767"/>
      <c r="K569" s="767"/>
      <c r="L569" s="767"/>
      <c r="M569" s="767"/>
      <c r="N569" s="655"/>
    </row>
    <row r="570" spans="1:14" s="270" customFormat="1" ht="15">
      <c r="A570" s="766"/>
      <c r="B570" s="755"/>
      <c r="C570" s="655"/>
      <c r="D570" s="655"/>
      <c r="E570" s="655"/>
      <c r="F570" s="655"/>
      <c r="G570" s="655"/>
      <c r="H570" s="655"/>
      <c r="I570" s="655"/>
      <c r="J570" s="655"/>
      <c r="K570" s="655"/>
      <c r="L570" s="655"/>
      <c r="M570" s="655"/>
      <c r="N570" s="655"/>
    </row>
    <row r="571" spans="1:14" s="270" customFormat="1" ht="12.75">
      <c r="A571" s="656"/>
      <c r="B571" s="655"/>
      <c r="C571" s="643" t="s">
        <v>162</v>
      </c>
      <c r="D571" s="644">
        <v>1</v>
      </c>
      <c r="E571" s="645" t="s">
        <v>211</v>
      </c>
      <c r="F571" s="655"/>
      <c r="G571" s="655"/>
      <c r="H571" s="655"/>
      <c r="I571" s="655"/>
      <c r="J571" s="655"/>
      <c r="K571" s="655"/>
      <c r="L571" s="655"/>
      <c r="M571" s="655"/>
      <c r="N571" s="655"/>
    </row>
    <row r="572" spans="1:14" s="270" customFormat="1" ht="12.75">
      <c r="A572" s="656"/>
      <c r="B572" s="394"/>
      <c r="C572" s="394"/>
      <c r="D572" s="394"/>
      <c r="E572" s="655"/>
      <c r="F572" s="655"/>
      <c r="G572" s="655"/>
      <c r="H572" s="655"/>
      <c r="I572" s="655"/>
      <c r="J572" s="655"/>
      <c r="K572" s="655"/>
      <c r="L572" s="655"/>
      <c r="M572" s="655"/>
      <c r="N572" s="655"/>
    </row>
    <row r="573" spans="1:14" s="270" customFormat="1" ht="29.25" customHeight="1">
      <c r="A573" s="764" t="str">
        <f>'ORÇAMENTO NÃO DESONERADO'!A138</f>
        <v>5.13.5</v>
      </c>
      <c r="B573" s="1104" t="str">
        <f>'ORÇAMENTO NÃO DESONERADO'!C138</f>
        <v>INTERRUPTOR SIMPLES (1 MÓDULO) COM 1 TOMADA DE EMBUTIR 2P+T 10 A,  INCLUINDO SUPORTE E PLACA - FORNECIMENTO E INSTALAÇÃO. AF_12/2015</v>
      </c>
      <c r="C573" s="1104"/>
      <c r="D573" s="1104"/>
      <c r="E573" s="1104"/>
      <c r="F573" s="1104"/>
      <c r="G573" s="1104"/>
      <c r="H573" s="1104"/>
      <c r="I573" s="1104"/>
      <c r="J573" s="1104"/>
      <c r="K573" s="1104"/>
      <c r="L573" s="1104"/>
      <c r="M573" s="1104"/>
      <c r="N573" s="1104"/>
    </row>
    <row r="574" spans="1:14" s="270" customFormat="1" ht="12.75">
      <c r="A574" s="656"/>
      <c r="B574" s="655"/>
      <c r="C574" s="655"/>
      <c r="D574" s="655"/>
      <c r="E574" s="655"/>
      <c r="F574" s="655"/>
      <c r="G574" s="655"/>
      <c r="H574" s="655"/>
      <c r="I574" s="655"/>
      <c r="J574" s="655"/>
      <c r="K574" s="655"/>
      <c r="L574" s="655"/>
      <c r="M574" s="655"/>
      <c r="N574" s="655"/>
    </row>
    <row r="575" spans="1:14" s="270" customFormat="1" ht="12.75">
      <c r="A575" s="656"/>
      <c r="B575" s="655"/>
      <c r="C575" s="643" t="s">
        <v>162</v>
      </c>
      <c r="D575" s="644">
        <v>3</v>
      </c>
      <c r="E575" s="645" t="s">
        <v>211</v>
      </c>
      <c r="F575" s="655"/>
      <c r="G575" s="655"/>
      <c r="H575" s="655"/>
      <c r="I575" s="655"/>
      <c r="J575" s="655"/>
      <c r="K575" s="655"/>
      <c r="L575" s="655"/>
      <c r="M575" s="655"/>
      <c r="N575" s="655"/>
    </row>
    <row r="576" spans="1:14" s="270" customFormat="1" ht="12.75">
      <c r="A576" s="656"/>
      <c r="B576" s="655"/>
      <c r="C576" s="655"/>
      <c r="D576" s="655"/>
      <c r="E576" s="655"/>
      <c r="F576" s="655"/>
      <c r="G576" s="655"/>
      <c r="H576" s="655"/>
      <c r="I576" s="655"/>
      <c r="J576" s="655"/>
      <c r="K576" s="655"/>
      <c r="L576" s="655"/>
      <c r="M576" s="655"/>
      <c r="N576" s="655"/>
    </row>
    <row r="577" spans="1:14" s="270" customFormat="1" ht="15">
      <c r="A577" s="764" t="str">
        <f>'ORÇAMENTO NÃO DESONERADO'!A139</f>
        <v>5.13.6</v>
      </c>
      <c r="B577" s="755" t="str">
        <f>'ORÇAMENTO NÃO DESONERADO'!C139</f>
        <v>CAIXA RETANGULAR 4" X 2" ALTA (2,00 M DO PISO), PVC, INSTALADA EM PAREDE - FORNECIMENTO E INSTALAÇÃO. AF_12/2015</v>
      </c>
      <c r="C577" s="655"/>
      <c r="D577" s="655"/>
      <c r="E577" s="655"/>
      <c r="F577" s="655"/>
      <c r="G577" s="655"/>
      <c r="H577" s="655"/>
      <c r="I577" s="655"/>
      <c r="J577" s="655"/>
      <c r="K577" s="655"/>
      <c r="L577" s="655"/>
      <c r="M577" s="655"/>
      <c r="N577" s="655"/>
    </row>
    <row r="578" spans="1:14" s="270" customFormat="1" ht="12.75">
      <c r="A578" s="656"/>
      <c r="B578" s="655"/>
      <c r="C578" s="655"/>
      <c r="D578" s="655"/>
      <c r="E578" s="655"/>
      <c r="F578" s="655"/>
      <c r="G578" s="655"/>
      <c r="H578" s="655"/>
      <c r="I578" s="655"/>
      <c r="J578" s="655"/>
      <c r="K578" s="655"/>
      <c r="L578" s="655"/>
      <c r="M578" s="655"/>
      <c r="N578" s="655"/>
    </row>
    <row r="579" spans="1:14" s="270" customFormat="1" ht="12.75">
      <c r="A579" s="655"/>
      <c r="B579" s="655"/>
      <c r="C579" s="643" t="s">
        <v>162</v>
      </c>
      <c r="D579" s="644">
        <v>10</v>
      </c>
      <c r="E579" s="645" t="s">
        <v>211</v>
      </c>
      <c r="F579" s="655"/>
      <c r="G579" s="655"/>
      <c r="H579" s="655"/>
      <c r="I579" s="655"/>
      <c r="J579" s="655"/>
      <c r="K579" s="655"/>
      <c r="L579" s="655"/>
      <c r="M579" s="655"/>
      <c r="N579" s="655"/>
    </row>
    <row r="580" spans="1:14" s="270" customFormat="1" ht="12.75">
      <c r="A580" s="655"/>
      <c r="B580" s="655"/>
      <c r="C580" s="655"/>
      <c r="D580" s="655"/>
      <c r="E580" s="655"/>
      <c r="F580" s="655"/>
      <c r="G580" s="655"/>
      <c r="H580" s="655"/>
      <c r="I580" s="655"/>
      <c r="J580" s="655"/>
      <c r="K580" s="655"/>
      <c r="L580" s="655"/>
      <c r="M580" s="655"/>
      <c r="N580" s="655"/>
    </row>
    <row r="581" spans="1:14" s="270" customFormat="1" ht="28.5" customHeight="1">
      <c r="A581" s="764" t="str">
        <f>'ORÇAMENTO NÃO DESONERADO'!A140</f>
        <v>5.13.7</v>
      </c>
      <c r="B581" s="1104" t="str">
        <f>'ORÇAMENTO NÃO DESONERADO'!C140</f>
        <v>QUADRO DE DISTRIBUICAO DE ENERGIA EM CHAPA DE ACO GALVANIZADO, PARA 12 DISJUNTORES TERMOMAGNETICOS MONOPOLARES, COM BARRAMENTO TRIFASICO E NEUTRO - FORNECIMENTO E INSTALACAO</v>
      </c>
      <c r="C581" s="1104"/>
      <c r="D581" s="1104"/>
      <c r="E581" s="1104"/>
      <c r="F581" s="1104"/>
      <c r="G581" s="1104"/>
      <c r="H581" s="1104"/>
      <c r="I581" s="1104"/>
      <c r="J581" s="1104"/>
      <c r="K581" s="1104"/>
      <c r="L581" s="1104"/>
      <c r="M581" s="1104"/>
      <c r="N581" s="1104"/>
    </row>
    <row r="582" spans="1:14" s="270" customFormat="1" ht="12.75">
      <c r="A582" s="656"/>
      <c r="B582" s="655"/>
      <c r="C582" s="655"/>
      <c r="D582" s="655"/>
      <c r="E582" s="655"/>
      <c r="F582" s="655"/>
      <c r="G582" s="655"/>
      <c r="H582" s="655"/>
      <c r="I582" s="655"/>
      <c r="J582" s="655"/>
      <c r="K582" s="655"/>
      <c r="L582" s="655"/>
      <c r="M582" s="655"/>
      <c r="N582" s="655"/>
    </row>
    <row r="583" spans="1:14" s="270" customFormat="1" ht="12.75">
      <c r="A583" s="656"/>
      <c r="B583" s="655"/>
      <c r="C583" s="643" t="s">
        <v>162</v>
      </c>
      <c r="D583" s="644">
        <v>1</v>
      </c>
      <c r="E583" s="645" t="s">
        <v>211</v>
      </c>
      <c r="F583" s="655"/>
      <c r="G583" s="655"/>
      <c r="H583" s="655"/>
      <c r="I583" s="655"/>
      <c r="J583" s="655"/>
      <c r="K583" s="655"/>
      <c r="L583" s="655"/>
      <c r="M583" s="655"/>
      <c r="N583" s="655"/>
    </row>
    <row r="584" spans="1:14" s="270" customFormat="1" ht="12.75">
      <c r="A584" s="656"/>
      <c r="B584" s="655"/>
      <c r="C584" s="655"/>
      <c r="D584" s="655"/>
      <c r="E584" s="655"/>
      <c r="F584" s="655"/>
      <c r="G584" s="655"/>
      <c r="H584" s="655"/>
      <c r="I584" s="655"/>
      <c r="J584" s="655"/>
      <c r="K584" s="655"/>
      <c r="L584" s="655"/>
      <c r="M584" s="655"/>
      <c r="N584" s="655"/>
    </row>
    <row r="585" spans="1:14" s="270" customFormat="1" ht="15">
      <c r="A585" s="764" t="str">
        <f>'ORÇAMENTO NÃO DESONERADO'!A141</f>
        <v>5.13.8</v>
      </c>
      <c r="B585" s="755" t="str">
        <f>'ORÇAMENTO NÃO DESONERADO'!C141</f>
        <v>DISJUNTOR TERMOMAGNETICO MONOPOLAR PADRAO NEMA (AMERICANO) 10 A 30A 240V, FORNECIMENTO E INSTALACAO</v>
      </c>
      <c r="C585" s="655"/>
      <c r="D585" s="655"/>
      <c r="E585" s="655"/>
      <c r="F585" s="655"/>
      <c r="G585" s="655"/>
      <c r="H585" s="655"/>
      <c r="I585" s="655"/>
      <c r="J585" s="655"/>
      <c r="K585" s="655"/>
      <c r="L585" s="655"/>
      <c r="M585" s="655"/>
      <c r="N585" s="655"/>
    </row>
    <row r="586" spans="1:14" s="270" customFormat="1" ht="15">
      <c r="A586" s="766"/>
      <c r="B586" s="755"/>
      <c r="C586" s="655"/>
      <c r="D586" s="655"/>
      <c r="E586" s="655"/>
      <c r="F586" s="655"/>
      <c r="G586" s="655"/>
      <c r="H586" s="655"/>
      <c r="I586" s="655"/>
      <c r="J586" s="655"/>
      <c r="K586" s="655"/>
      <c r="L586" s="655"/>
      <c r="M586" s="655"/>
      <c r="N586" s="655"/>
    </row>
    <row r="587" spans="1:14" s="270" customFormat="1" ht="12.75">
      <c r="A587" s="656"/>
      <c r="B587" s="655"/>
      <c r="C587" s="643" t="s">
        <v>162</v>
      </c>
      <c r="D587" s="644">
        <v>8</v>
      </c>
      <c r="E587" s="645" t="s">
        <v>211</v>
      </c>
      <c r="F587" s="655"/>
      <c r="G587" s="655"/>
      <c r="H587" s="655"/>
      <c r="I587" s="655"/>
      <c r="J587" s="655"/>
      <c r="K587" s="655"/>
      <c r="L587" s="655"/>
      <c r="M587" s="655"/>
      <c r="N587" s="655"/>
    </row>
    <row r="588" spans="1:14" s="270" customFormat="1" ht="12.75">
      <c r="A588" s="656"/>
      <c r="B588" s="655"/>
      <c r="C588" s="655"/>
      <c r="D588" s="655"/>
      <c r="E588" s="655"/>
      <c r="F588" s="655"/>
      <c r="G588" s="655"/>
      <c r="H588" s="655"/>
      <c r="I588" s="655"/>
      <c r="J588" s="655"/>
      <c r="K588" s="655"/>
      <c r="L588" s="655"/>
      <c r="M588" s="655"/>
      <c r="N588" s="655"/>
    </row>
    <row r="589" spans="1:14" s="270" customFormat="1" ht="15">
      <c r="A589" s="764" t="str">
        <f>'ORÇAMENTO NÃO DESONERADO'!A142</f>
        <v>5.13.9</v>
      </c>
      <c r="B589" s="1104" t="str">
        <f>'ORÇAMENTO NÃO DESONERADO'!C142</f>
        <v>ELETRODUTO FLEXÍVEL CORRUGADO, PVC, DN 25 MM (3/4"), PARA CIRCUITOS TERMINAIS, INSTALADO EM LAJE - FORNECIMENTO E INSTALAÇÃO. AF_12/2015</v>
      </c>
      <c r="C589" s="1104"/>
      <c r="D589" s="1104"/>
      <c r="E589" s="1104"/>
      <c r="F589" s="1104"/>
      <c r="G589" s="1104"/>
      <c r="H589" s="1104"/>
      <c r="I589" s="1104"/>
      <c r="J589" s="1104"/>
      <c r="K589" s="1104"/>
      <c r="L589" s="1104"/>
      <c r="M589" s="1104"/>
      <c r="N589" s="1104"/>
    </row>
    <row r="590" spans="1:14" s="270" customFormat="1" ht="12.75">
      <c r="A590" s="266"/>
      <c r="B590" s="1104"/>
      <c r="C590" s="1104"/>
      <c r="D590" s="1104"/>
      <c r="E590" s="1104"/>
      <c r="F590" s="1104"/>
      <c r="G590" s="1104"/>
      <c r="H590" s="1104"/>
      <c r="I590" s="1104"/>
      <c r="J590" s="1104"/>
      <c r="K590" s="1104"/>
      <c r="L590" s="1104"/>
      <c r="M590" s="1104"/>
      <c r="N590" s="1104"/>
    </row>
    <row r="591" spans="1:14" s="270" customFormat="1" ht="12.75">
      <c r="A591" s="266"/>
      <c r="B591" s="157"/>
      <c r="C591" s="157"/>
      <c r="D591" s="157"/>
      <c r="E591" s="157"/>
      <c r="F591" s="157"/>
      <c r="G591" s="157"/>
      <c r="H591" s="157"/>
      <c r="I591" s="157"/>
      <c r="J591" s="157"/>
      <c r="K591" s="157"/>
      <c r="L591" s="157"/>
      <c r="M591" s="157"/>
      <c r="N591" s="157"/>
    </row>
    <row r="592" spans="1:14" s="270" customFormat="1" ht="12.75">
      <c r="A592" s="266"/>
      <c r="B592" s="157"/>
      <c r="C592" s="643" t="s">
        <v>162</v>
      </c>
      <c r="D592" s="644">
        <v>11</v>
      </c>
      <c r="E592" s="645" t="s">
        <v>69</v>
      </c>
      <c r="F592" s="157"/>
      <c r="G592" s="157"/>
      <c r="H592" s="157"/>
      <c r="I592" s="157"/>
      <c r="J592" s="157"/>
      <c r="K592" s="157"/>
      <c r="L592" s="157"/>
      <c r="M592" s="157"/>
      <c r="N592" s="157"/>
    </row>
    <row r="593" spans="1:14" s="270" customFormat="1" ht="12.75">
      <c r="A593" s="266"/>
      <c r="B593" s="157"/>
      <c r="C593" s="157"/>
      <c r="D593" s="157"/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</row>
    <row r="594" spans="1:14" s="270" customFormat="1" ht="15">
      <c r="A594" s="273" t="str">
        <f>'ORÇAMENTO NÃO DESONERADO'!A143</f>
        <v>5.13.10</v>
      </c>
      <c r="B594" s="1099" t="str">
        <f>'ORÇAMENTO NÃO DESONERADO'!C143</f>
        <v>CURVA 90 GRAUS PARA ELETRODUTO, PVC, ROSCÁVEL, DN 25 MM (3/4"), PARA CIRCUITOS TERMINAIS, INSTALADA EM LAJE - FORNECIMENTO E INSTALAÇÃO. AF_12/2015</v>
      </c>
      <c r="C594" s="1099"/>
      <c r="D594" s="1099"/>
      <c r="E594" s="1099"/>
      <c r="F594" s="1099"/>
      <c r="G594" s="1099"/>
      <c r="H594" s="1099"/>
      <c r="I594" s="1099"/>
      <c r="J594" s="1099"/>
      <c r="K594" s="1099"/>
      <c r="L594" s="1099"/>
      <c r="M594" s="1099"/>
      <c r="N594" s="1099"/>
    </row>
    <row r="595" spans="1:14" s="270" customFormat="1" ht="12.75">
      <c r="A595" s="266"/>
      <c r="B595" s="1099"/>
      <c r="C595" s="1099"/>
      <c r="D595" s="1099"/>
      <c r="E595" s="1099"/>
      <c r="F595" s="1099"/>
      <c r="G595" s="1099"/>
      <c r="H595" s="1099"/>
      <c r="I595" s="1099"/>
      <c r="J595" s="1099"/>
      <c r="K595" s="1099"/>
      <c r="L595" s="1099"/>
      <c r="M595" s="1099"/>
      <c r="N595" s="1099"/>
    </row>
    <row r="596" spans="1:14" s="270" customFormat="1" ht="12.75">
      <c r="A596" s="266"/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</row>
    <row r="597" spans="1:14" s="270" customFormat="1" ht="12.75">
      <c r="A597" s="266"/>
      <c r="B597" s="157"/>
      <c r="C597" s="643" t="s">
        <v>162</v>
      </c>
      <c r="D597" s="644">
        <v>5</v>
      </c>
      <c r="E597" s="645" t="s">
        <v>211</v>
      </c>
      <c r="F597" s="157"/>
      <c r="G597" s="157"/>
      <c r="H597" s="157"/>
      <c r="I597" s="157"/>
      <c r="J597" s="157"/>
      <c r="K597" s="157"/>
      <c r="L597" s="157"/>
      <c r="M597" s="157"/>
      <c r="N597" s="157"/>
    </row>
    <row r="598" spans="1:14" s="270" customFormat="1" ht="12.75">
      <c r="A598" s="266"/>
      <c r="B598" s="157"/>
      <c r="C598" s="157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</row>
    <row r="599" spans="1:14" s="270" customFormat="1" ht="15">
      <c r="A599" s="273" t="str">
        <f>'ORÇAMENTO NÃO DESONERADO'!A144</f>
        <v>5.13.11</v>
      </c>
      <c r="B599" s="1099" t="str">
        <f>'ORÇAMENTO NÃO DESONERADO'!C144</f>
        <v>ELETRODUTO RÍGIDO ROSCÁVEL, PVC, DN 25 MM (3/4"), PARA CIRCUITOS TERMINAIS, INSTALADO EM PAREDE - FORNECIMENTO E INSTALAÇÃO. AF_12/2015</v>
      </c>
      <c r="C599" s="1099"/>
      <c r="D599" s="1099"/>
      <c r="E599" s="1099"/>
      <c r="F599" s="1099"/>
      <c r="G599" s="1099"/>
      <c r="H599" s="1099"/>
      <c r="I599" s="1099"/>
      <c r="J599" s="1099"/>
      <c r="K599" s="1099"/>
      <c r="L599" s="1099"/>
      <c r="M599" s="1099"/>
      <c r="N599" s="1099"/>
    </row>
    <row r="600" spans="1:14" s="270" customFormat="1" ht="12.75">
      <c r="A600" s="266"/>
      <c r="B600" s="1099"/>
      <c r="C600" s="1099"/>
      <c r="D600" s="1099"/>
      <c r="E600" s="1099"/>
      <c r="F600" s="1099"/>
      <c r="G600" s="1099"/>
      <c r="H600" s="1099"/>
      <c r="I600" s="1099"/>
      <c r="J600" s="1099"/>
      <c r="K600" s="1099"/>
      <c r="L600" s="1099"/>
      <c r="M600" s="1099"/>
      <c r="N600" s="1099"/>
    </row>
    <row r="601" spans="1:14" s="270" customFormat="1" ht="12.75">
      <c r="A601" s="266"/>
      <c r="B601" s="157"/>
      <c r="C601" s="157"/>
      <c r="D601" s="157"/>
      <c r="E601" s="157"/>
      <c r="F601" s="157"/>
      <c r="G601" s="157"/>
      <c r="H601" s="157"/>
      <c r="I601" s="157"/>
      <c r="J601" s="157"/>
      <c r="K601" s="157"/>
      <c r="L601" s="157"/>
      <c r="M601" s="157"/>
      <c r="N601" s="157"/>
    </row>
    <row r="602" spans="1:14" s="270" customFormat="1" ht="12.75">
      <c r="A602" s="266"/>
      <c r="B602" s="157"/>
      <c r="C602" s="643" t="s">
        <v>162</v>
      </c>
      <c r="D602" s="644">
        <v>18</v>
      </c>
      <c r="E602" s="645" t="s">
        <v>69</v>
      </c>
      <c r="F602" s="157"/>
      <c r="G602" s="157"/>
      <c r="H602" s="157"/>
      <c r="I602" s="157"/>
      <c r="J602" s="157"/>
      <c r="K602" s="157"/>
      <c r="L602" s="157"/>
      <c r="M602" s="157"/>
      <c r="N602" s="157"/>
    </row>
    <row r="603" spans="1:14" s="270" customFormat="1" ht="12.75">
      <c r="A603" s="266"/>
      <c r="B603" s="157"/>
      <c r="C603" s="157"/>
      <c r="D603" s="157"/>
      <c r="E603" s="157"/>
      <c r="F603" s="157"/>
      <c r="G603" s="157"/>
      <c r="H603" s="157"/>
      <c r="I603" s="157"/>
      <c r="J603" s="157"/>
      <c r="K603" s="157"/>
      <c r="L603" s="157"/>
      <c r="M603" s="157"/>
      <c r="N603" s="157"/>
    </row>
    <row r="604" spans="1:14" s="270" customFormat="1" ht="15">
      <c r="A604" s="273" t="str">
        <f>'ORÇAMENTO NÃO DESONERADO'!A145</f>
        <v>5.13.12</v>
      </c>
      <c r="B604" s="1099" t="str">
        <f>'ORÇAMENTO NÃO DESONERADO'!C145</f>
        <v>LUVA PARA ELETRODUTO, PVC, ROSCÁVEL, DN 25 MM (3/4"), PARA CIRCUITOS TERMINAIS, INSTALADA EM PAREDE - FORNECIMENTO E INSTALAÇÃO. AF_12/2015</v>
      </c>
      <c r="C604" s="1099"/>
      <c r="D604" s="1099"/>
      <c r="E604" s="1099"/>
      <c r="F604" s="1099"/>
      <c r="G604" s="1099"/>
      <c r="H604" s="1099"/>
      <c r="I604" s="1099"/>
      <c r="J604" s="1099"/>
      <c r="K604" s="1099"/>
      <c r="L604" s="1099"/>
      <c r="M604" s="1099"/>
      <c r="N604" s="647"/>
    </row>
    <row r="605" spans="1:14" s="270" customFormat="1" ht="15">
      <c r="A605" s="266"/>
      <c r="B605" s="1099"/>
      <c r="C605" s="1099"/>
      <c r="D605" s="1099"/>
      <c r="E605" s="1099"/>
      <c r="F605" s="1099"/>
      <c r="G605" s="1099"/>
      <c r="H605" s="1099"/>
      <c r="I605" s="1099"/>
      <c r="J605" s="1099"/>
      <c r="K605" s="1099"/>
      <c r="L605" s="1099"/>
      <c r="M605" s="1099"/>
      <c r="N605" s="647"/>
    </row>
    <row r="606" spans="1:14" s="270" customFormat="1" ht="12.75">
      <c r="A606" s="266"/>
      <c r="B606" s="157"/>
      <c r="C606" s="157"/>
      <c r="D606" s="157"/>
      <c r="E606" s="157"/>
      <c r="F606" s="157"/>
      <c r="G606" s="157"/>
      <c r="H606" s="157"/>
      <c r="I606" s="157"/>
      <c r="J606" s="157"/>
      <c r="K606" s="157"/>
      <c r="L606" s="157"/>
      <c r="M606" s="157"/>
      <c r="N606" s="157"/>
    </row>
    <row r="607" spans="1:14" s="270" customFormat="1" ht="12.75">
      <c r="A607" s="266"/>
      <c r="B607" s="157"/>
      <c r="C607" s="643" t="s">
        <v>162</v>
      </c>
      <c r="D607" s="644">
        <v>9</v>
      </c>
      <c r="E607" s="645" t="s">
        <v>211</v>
      </c>
      <c r="F607" s="157"/>
      <c r="G607" s="157"/>
      <c r="H607" s="157"/>
      <c r="I607" s="157"/>
      <c r="J607" s="157"/>
      <c r="K607" s="157"/>
      <c r="L607" s="157"/>
      <c r="M607" s="157"/>
      <c r="N607" s="157"/>
    </row>
    <row r="608" spans="1:14" s="270" customFormat="1" ht="12.75">
      <c r="A608" s="266"/>
      <c r="B608" s="157"/>
      <c r="C608" s="157"/>
      <c r="D608" s="157"/>
      <c r="E608" s="157"/>
      <c r="F608" s="157"/>
      <c r="G608" s="157"/>
      <c r="H608" s="157"/>
      <c r="I608" s="157"/>
      <c r="J608" s="157"/>
      <c r="K608" s="157"/>
      <c r="L608" s="157"/>
      <c r="M608" s="157"/>
      <c r="N608" s="157"/>
    </row>
    <row r="609" spans="1:14" s="270" customFormat="1" ht="29.25" customHeight="1">
      <c r="A609" s="273" t="str">
        <f>'ORÇAMENTO NÃO DESONERADO'!A146</f>
        <v>5.13.13</v>
      </c>
      <c r="B609" s="1105" t="str">
        <f>'ORÇAMENTO NÃO DESONERADO'!C146</f>
        <v>SUPORTE PARA ELETROCALHA LISA OU PERFURADA EM AÇO GALVANIZADO, LARGURA 200 OU 400 MM E ALTURA 50 MM, ESPAÇADO A CADA 1,5 M, EM PERFILADO DE SEÇÃO 38X76 MM, POR METRO DE ELETRECOLHA FIXADA. AF_07/2017</v>
      </c>
      <c r="C609" s="1105"/>
      <c r="D609" s="1105"/>
      <c r="E609" s="1105"/>
      <c r="F609" s="1105"/>
      <c r="G609" s="1105"/>
      <c r="H609" s="1105"/>
      <c r="I609" s="1105"/>
      <c r="J609" s="1105"/>
      <c r="K609" s="1105"/>
      <c r="L609" s="1105"/>
      <c r="M609" s="1105"/>
      <c r="N609" s="1105"/>
    </row>
    <row r="610" spans="1:14" s="270" customFormat="1" ht="12.75">
      <c r="A610" s="266"/>
      <c r="B610" s="157"/>
      <c r="C610" s="157"/>
      <c r="D610" s="157"/>
      <c r="E610" s="157"/>
      <c r="F610" s="157"/>
      <c r="G610" s="157"/>
      <c r="H610" s="157"/>
      <c r="I610" s="157"/>
      <c r="J610" s="157"/>
      <c r="K610" s="157"/>
      <c r="L610" s="157"/>
      <c r="M610" s="157"/>
      <c r="N610" s="157"/>
    </row>
    <row r="611" spans="1:14" s="270" customFormat="1" ht="12.75">
      <c r="A611" s="266"/>
      <c r="B611" s="157"/>
      <c r="C611" s="643" t="s">
        <v>162</v>
      </c>
      <c r="D611" s="644">
        <f>11.5+14.9+11.5+7.5+11.1+2.7+7.45+4.25+5.7+3.9+5.7+1.6+1.6+2.4</f>
        <v>91.80000000000001</v>
      </c>
      <c r="E611" s="645" t="s">
        <v>69</v>
      </c>
      <c r="F611" s="157"/>
      <c r="G611" s="157"/>
      <c r="H611" s="157"/>
      <c r="I611" s="157"/>
      <c r="J611" s="157"/>
      <c r="K611" s="157"/>
      <c r="L611" s="157"/>
      <c r="M611" s="157"/>
      <c r="N611" s="157"/>
    </row>
    <row r="612" spans="1:14" s="270" customFormat="1" ht="15">
      <c r="A612" s="273"/>
      <c r="B612" s="406"/>
      <c r="C612" s="406"/>
      <c r="D612" s="157"/>
      <c r="E612" s="157"/>
      <c r="F612" s="157"/>
      <c r="G612" s="157"/>
      <c r="H612" s="157"/>
      <c r="I612" s="157"/>
      <c r="J612" s="157"/>
      <c r="K612" s="157"/>
      <c r="L612" s="157"/>
      <c r="M612" s="157"/>
      <c r="N612" s="157"/>
    </row>
    <row r="613" spans="1:14" s="270" customFormat="1" ht="15">
      <c r="A613" s="273" t="str">
        <f>'ORÇAMENTO NÃO DESONERADO'!A147</f>
        <v>5.13.14</v>
      </c>
      <c r="B613" s="406" t="str">
        <f>'ORÇAMENTO NÃO DESONERADO'!C147</f>
        <v>CAIXA DE PASSAGEM 30X30X40 COM TAMPA E DRENO BRITA</v>
      </c>
      <c r="C613" s="406"/>
      <c r="D613" s="157"/>
      <c r="E613" s="157"/>
      <c r="F613" s="157"/>
      <c r="G613" s="157"/>
      <c r="H613" s="157"/>
      <c r="I613" s="157"/>
      <c r="J613" s="157"/>
      <c r="K613" s="157"/>
      <c r="L613" s="157"/>
      <c r="M613" s="157"/>
      <c r="N613" s="157"/>
    </row>
    <row r="614" spans="1:14" s="270" customFormat="1" ht="15">
      <c r="A614" s="273"/>
      <c r="B614" s="406"/>
      <c r="C614" s="406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</row>
    <row r="615" spans="1:14" s="270" customFormat="1" ht="12.75">
      <c r="A615" s="266"/>
      <c r="B615" s="157"/>
      <c r="C615" s="643" t="s">
        <v>162</v>
      </c>
      <c r="D615" s="644">
        <v>3</v>
      </c>
      <c r="E615" s="645" t="s">
        <v>211</v>
      </c>
      <c r="F615" s="157"/>
      <c r="G615" s="157"/>
      <c r="H615" s="157"/>
      <c r="I615" s="157"/>
      <c r="J615" s="157"/>
      <c r="K615" s="157"/>
      <c r="L615" s="157"/>
      <c r="M615" s="157"/>
      <c r="N615" s="157"/>
    </row>
    <row r="616" spans="1:14" s="270" customFormat="1" ht="12.75">
      <c r="A616" s="266"/>
      <c r="B616" s="157"/>
      <c r="C616" s="157"/>
      <c r="D616" s="157"/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</row>
    <row r="617" spans="1:14" s="270" customFormat="1" ht="15">
      <c r="A617" s="273" t="str">
        <f>'ORÇAMENTO NÃO DESONERADO'!A148</f>
        <v>5.13.15</v>
      </c>
      <c r="B617" s="759" t="str">
        <f>'ORÇAMENTO NÃO DESONERADO'!C148</f>
        <v>CAIXA DE PROTECAO PARA MEDIDOR MONOFASICO, FORNECIMENTO E INSTALACAO</v>
      </c>
      <c r="C617" s="157"/>
      <c r="D617" s="157"/>
      <c r="E617" s="157"/>
      <c r="F617" s="157"/>
      <c r="G617" s="157"/>
      <c r="H617" s="157"/>
      <c r="I617" s="157"/>
      <c r="J617" s="157"/>
      <c r="K617" s="157"/>
      <c r="L617" s="157"/>
      <c r="M617" s="157"/>
      <c r="N617" s="157"/>
    </row>
    <row r="618" spans="1:14" s="270" customFormat="1" ht="12.75">
      <c r="A618" s="266"/>
      <c r="B618" s="157"/>
      <c r="C618" s="157"/>
      <c r="D618" s="157"/>
      <c r="E618" s="157"/>
      <c r="F618" s="157"/>
      <c r="G618" s="157"/>
      <c r="H618" s="157"/>
      <c r="I618" s="157"/>
      <c r="J618" s="157"/>
      <c r="K618" s="157"/>
      <c r="L618" s="157"/>
      <c r="M618" s="157"/>
      <c r="N618" s="157"/>
    </row>
    <row r="619" spans="1:14" s="270" customFormat="1" ht="12.75">
      <c r="A619" s="266"/>
      <c r="B619" s="157"/>
      <c r="C619" s="643" t="s">
        <v>162</v>
      </c>
      <c r="D619" s="644">
        <v>1</v>
      </c>
      <c r="E619" s="645" t="s">
        <v>211</v>
      </c>
      <c r="F619" s="157"/>
      <c r="G619" s="157"/>
      <c r="H619" s="157"/>
      <c r="I619" s="157"/>
      <c r="J619" s="157"/>
      <c r="K619" s="157"/>
      <c r="L619" s="157"/>
      <c r="M619" s="157"/>
      <c r="N619" s="157"/>
    </row>
    <row r="620" spans="1:14" s="270" customFormat="1" ht="12.75">
      <c r="A620" s="266"/>
      <c r="B620" s="157"/>
      <c r="C620" s="157"/>
      <c r="D620" s="157"/>
      <c r="E620" s="157"/>
      <c r="F620" s="157"/>
      <c r="G620" s="157"/>
      <c r="H620" s="157"/>
      <c r="I620" s="157"/>
      <c r="J620" s="157"/>
      <c r="K620" s="157"/>
      <c r="L620" s="157"/>
      <c r="M620" s="157"/>
      <c r="N620" s="157"/>
    </row>
    <row r="621" spans="1:14" s="270" customFormat="1" ht="15">
      <c r="A621" s="273" t="str">
        <f>'ORÇAMENTO NÃO DESONERADO'!A149</f>
        <v>5.13.16</v>
      </c>
      <c r="B621" s="406" t="str">
        <f>'ORÇAMENTO NÃO DESONERADO'!C149</f>
        <v>HASTE DE ATERRAMENTO 3/4  PARA SPDA - FORNECIMENTO E INSTALAÇÃO. AF_12/2017</v>
      </c>
      <c r="C621" s="157"/>
      <c r="D621" s="157"/>
      <c r="E621" s="157"/>
      <c r="F621" s="157"/>
      <c r="G621" s="157"/>
      <c r="H621" s="157"/>
      <c r="I621" s="157"/>
      <c r="J621" s="157"/>
      <c r="K621" s="157"/>
      <c r="L621" s="157"/>
      <c r="M621" s="157"/>
      <c r="N621" s="157"/>
    </row>
    <row r="622" spans="1:14" s="270" customFormat="1" ht="12.75">
      <c r="A622" s="266"/>
      <c r="B622" s="157"/>
      <c r="C622" s="157"/>
      <c r="D622" s="157"/>
      <c r="E622" s="157"/>
      <c r="F622" s="157"/>
      <c r="G622" s="157"/>
      <c r="H622" s="157"/>
      <c r="I622" s="157"/>
      <c r="J622" s="157"/>
      <c r="K622" s="157"/>
      <c r="L622" s="157"/>
      <c r="M622" s="157"/>
      <c r="N622" s="157"/>
    </row>
    <row r="623" spans="1:14" s="270" customFormat="1" ht="12.75">
      <c r="A623" s="266"/>
      <c r="B623" s="157"/>
      <c r="C623" s="643" t="s">
        <v>162</v>
      </c>
      <c r="D623" s="644">
        <v>3</v>
      </c>
      <c r="E623" s="645" t="s">
        <v>211</v>
      </c>
      <c r="F623" s="157"/>
      <c r="G623" s="157"/>
      <c r="H623" s="157"/>
      <c r="I623" s="157"/>
      <c r="J623" s="157"/>
      <c r="K623" s="157"/>
      <c r="L623" s="157"/>
      <c r="M623" s="157"/>
      <c r="N623" s="157"/>
    </row>
    <row r="624" spans="1:14" s="270" customFormat="1" ht="12.75">
      <c r="A624" s="266"/>
      <c r="B624" s="157"/>
      <c r="C624" s="157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</row>
    <row r="625" spans="1:14" s="270" customFormat="1" ht="15">
      <c r="A625" s="273" t="str">
        <f>'ORÇAMENTO NÃO DESONERADO'!A150</f>
        <v>5.13.17</v>
      </c>
      <c r="B625" s="1099" t="str">
        <f>'ORÇAMENTO NÃO DESONERADO'!C150</f>
        <v>CABO DE COBRE FLEXÍVEL ISOLADO, 2,5 MM², ANTI-CHAMA 450/750 V, PARA CIRCUITOS TERMINAIS - FORNECIMENTO E INSTALAÇÃO. AF_12/2015</v>
      </c>
      <c r="C625" s="1099"/>
      <c r="D625" s="1099"/>
      <c r="E625" s="1099"/>
      <c r="F625" s="1099"/>
      <c r="G625" s="1099"/>
      <c r="H625" s="1099"/>
      <c r="I625" s="1099"/>
      <c r="J625" s="1099"/>
      <c r="K625" s="1099"/>
      <c r="L625" s="1099"/>
      <c r="M625" s="1099"/>
      <c r="N625" s="1099"/>
    </row>
    <row r="626" spans="1:14" s="270" customFormat="1" ht="12.75">
      <c r="A626" s="266"/>
      <c r="B626" s="1099"/>
      <c r="C626" s="1099"/>
      <c r="D626" s="1099"/>
      <c r="E626" s="1099"/>
      <c r="F626" s="1099"/>
      <c r="G626" s="1099"/>
      <c r="H626" s="1099"/>
      <c r="I626" s="1099"/>
      <c r="J626" s="1099"/>
      <c r="K626" s="1099"/>
      <c r="L626" s="1099"/>
      <c r="M626" s="1099"/>
      <c r="N626" s="1099"/>
    </row>
    <row r="627" spans="1:14" s="270" customFormat="1" ht="12.75">
      <c r="A627" s="266"/>
      <c r="B627" s="157"/>
      <c r="C627" s="157"/>
      <c r="D627" s="157"/>
      <c r="E627" s="157"/>
      <c r="F627" s="157"/>
      <c r="G627" s="157"/>
      <c r="H627" s="157"/>
      <c r="I627" s="157"/>
      <c r="J627" s="157"/>
      <c r="K627" s="157"/>
      <c r="L627" s="157"/>
      <c r="M627" s="157"/>
      <c r="N627" s="157"/>
    </row>
    <row r="628" spans="1:14" s="270" customFormat="1" ht="12.75">
      <c r="A628" s="266"/>
      <c r="B628" s="157"/>
      <c r="C628" s="643" t="s">
        <v>162</v>
      </c>
      <c r="D628" s="644">
        <v>365</v>
      </c>
      <c r="E628" s="645" t="s">
        <v>211</v>
      </c>
      <c r="F628" s="157"/>
      <c r="G628" s="157"/>
      <c r="H628" s="157"/>
      <c r="I628" s="157"/>
      <c r="J628" s="157"/>
      <c r="K628" s="157"/>
      <c r="L628" s="157"/>
      <c r="M628" s="157"/>
      <c r="N628" s="157"/>
    </row>
    <row r="629" spans="1:14" s="270" customFormat="1" ht="12.75">
      <c r="A629" s="266"/>
      <c r="B629" s="157"/>
      <c r="C629" s="157"/>
      <c r="D629" s="157"/>
      <c r="E629" s="157"/>
      <c r="F629" s="157"/>
      <c r="G629" s="157"/>
      <c r="H629" s="157"/>
      <c r="I629" s="157"/>
      <c r="J629" s="157"/>
      <c r="K629" s="157"/>
      <c r="L629" s="157"/>
      <c r="M629" s="157"/>
      <c r="N629" s="157"/>
    </row>
    <row r="630" spans="1:14" s="270" customFormat="1" ht="15">
      <c r="A630" s="273" t="str">
        <f>'ORÇAMENTO NÃO DESONERADO'!A151</f>
        <v>5.13.18</v>
      </c>
      <c r="B630" s="1121" t="str">
        <f>'ORÇAMENTO NÃO DESONERADO'!C151</f>
        <v>CABO DE COBRE FLEXÍVEL ISOLADO, 4 MM², ANTI-CHAMA 450/750 V, PARA CIRCUITOS TERMINAIS - FORNECIMENTO E INSTALAÇÃO. AF_12/2015</v>
      </c>
      <c r="C630" s="1121"/>
      <c r="D630" s="1121"/>
      <c r="E630" s="1121"/>
      <c r="F630" s="1121"/>
      <c r="G630" s="1121"/>
      <c r="H630" s="1121"/>
      <c r="I630" s="1121"/>
      <c r="J630" s="1121"/>
      <c r="K630" s="1121"/>
      <c r="L630" s="1121"/>
      <c r="M630" s="1121"/>
      <c r="N630" s="615"/>
    </row>
    <row r="631" spans="1:14" s="270" customFormat="1" ht="15">
      <c r="A631" s="273"/>
      <c r="B631" s="1121"/>
      <c r="C631" s="1121"/>
      <c r="D631" s="1121"/>
      <c r="E631" s="1121"/>
      <c r="F631" s="1121"/>
      <c r="G631" s="1121"/>
      <c r="H631" s="1121"/>
      <c r="I631" s="1121"/>
      <c r="J631" s="1121"/>
      <c r="K631" s="1121"/>
      <c r="L631" s="1121"/>
      <c r="M631" s="1121"/>
      <c r="N631" s="615"/>
    </row>
    <row r="632" spans="1:14" s="270" customFormat="1" ht="12.75">
      <c r="A632" s="266"/>
      <c r="B632" s="157"/>
      <c r="C632" s="157"/>
      <c r="D632" s="157"/>
      <c r="E632" s="157"/>
      <c r="F632" s="157"/>
      <c r="G632" s="157"/>
      <c r="H632" s="157"/>
      <c r="I632" s="157"/>
      <c r="J632" s="157"/>
      <c r="K632" s="157"/>
      <c r="L632" s="157"/>
      <c r="M632" s="157"/>
      <c r="N632" s="157"/>
    </row>
    <row r="633" spans="1:14" s="270" customFormat="1" ht="12.75">
      <c r="A633" s="266"/>
      <c r="B633" s="157"/>
      <c r="C633" s="643" t="s">
        <v>162</v>
      </c>
      <c r="D633" s="644">
        <v>25</v>
      </c>
      <c r="E633" s="645" t="s">
        <v>69</v>
      </c>
      <c r="F633" s="157"/>
      <c r="G633" s="157"/>
      <c r="H633" s="157"/>
      <c r="I633" s="157"/>
      <c r="J633" s="157"/>
      <c r="K633" s="157"/>
      <c r="L633" s="157"/>
      <c r="M633" s="157"/>
      <c r="N633" s="157"/>
    </row>
    <row r="634" spans="1:14" s="270" customFormat="1" ht="12.75">
      <c r="A634" s="266"/>
      <c r="B634" s="157"/>
      <c r="C634" s="157"/>
      <c r="D634" s="157"/>
      <c r="E634" s="157"/>
      <c r="F634" s="157"/>
      <c r="G634" s="157"/>
      <c r="H634" s="157"/>
      <c r="I634" s="157"/>
      <c r="J634" s="157"/>
      <c r="K634" s="157"/>
      <c r="L634" s="157"/>
      <c r="M634" s="157"/>
      <c r="N634" s="157"/>
    </row>
    <row r="635" spans="1:14" s="270" customFormat="1" ht="12.75">
      <c r="A635" s="266"/>
      <c r="B635" s="157"/>
      <c r="C635" s="157"/>
      <c r="D635" s="157"/>
      <c r="E635" s="157"/>
      <c r="F635" s="157"/>
      <c r="G635" s="157"/>
      <c r="H635" s="157"/>
      <c r="I635" s="157"/>
      <c r="J635" s="157"/>
      <c r="K635" s="157"/>
      <c r="L635" s="157"/>
      <c r="M635" s="157"/>
      <c r="N635" s="157"/>
    </row>
    <row r="636" spans="1:14" s="270" customFormat="1" ht="12.75">
      <c r="A636" s="157"/>
      <c r="B636" s="157"/>
      <c r="C636" s="157"/>
      <c r="D636" s="157"/>
      <c r="E636" s="157"/>
      <c r="F636" s="157"/>
      <c r="G636" s="157"/>
      <c r="H636" s="157"/>
      <c r="I636" s="157"/>
      <c r="J636" s="157"/>
      <c r="K636" s="157"/>
      <c r="L636" s="157"/>
      <c r="M636" s="157"/>
      <c r="N636" s="157"/>
    </row>
    <row r="637" spans="1:14" s="270" customFormat="1" ht="12.75">
      <c r="A637" s="157"/>
      <c r="B637" s="157"/>
      <c r="C637" s="157"/>
      <c r="D637" s="157"/>
      <c r="E637" s="157"/>
      <c r="F637" s="157"/>
      <c r="G637" s="157"/>
      <c r="H637" s="157"/>
      <c r="I637" s="157"/>
      <c r="J637" s="157"/>
      <c r="K637" s="157"/>
      <c r="L637" s="157"/>
      <c r="M637" s="157"/>
      <c r="N637" s="157"/>
    </row>
    <row r="638" spans="1:14" s="270" customFormat="1" ht="12.75">
      <c r="A638" s="157"/>
      <c r="B638" s="157"/>
      <c r="C638" s="157"/>
      <c r="D638" s="157"/>
      <c r="E638" s="157"/>
      <c r="F638" s="157"/>
      <c r="G638" s="157"/>
      <c r="H638" s="157"/>
      <c r="I638" s="157"/>
      <c r="J638" s="157"/>
      <c r="K638" s="157"/>
      <c r="L638" s="157"/>
      <c r="M638" s="157"/>
      <c r="N638" s="157"/>
    </row>
    <row r="639" spans="1:14" s="270" customFormat="1" ht="12.75">
      <c r="A639" s="157"/>
      <c r="B639" s="157"/>
      <c r="C639" s="157"/>
      <c r="D639" s="157"/>
      <c r="E639" s="157"/>
      <c r="F639" s="157"/>
      <c r="G639" s="157"/>
      <c r="H639" s="157"/>
      <c r="I639" s="157"/>
      <c r="J639" s="157"/>
      <c r="K639" s="157"/>
      <c r="L639" s="157"/>
      <c r="M639" s="157"/>
      <c r="N639" s="157"/>
    </row>
    <row r="640" spans="1:14" s="270" customFormat="1" ht="12.75">
      <c r="A640" s="157"/>
      <c r="B640" s="157"/>
      <c r="C640" s="157"/>
      <c r="D640" s="157"/>
      <c r="E640" s="157"/>
      <c r="F640" s="157"/>
      <c r="G640" s="157"/>
      <c r="H640" s="157"/>
      <c r="I640" s="157"/>
      <c r="J640" s="157"/>
      <c r="K640" s="157"/>
      <c r="L640" s="157"/>
      <c r="M640" s="157"/>
      <c r="N640" s="157"/>
    </row>
    <row r="641" spans="1:14" s="270" customFormat="1" ht="12.75">
      <c r="A641" s="157"/>
      <c r="B641" s="157"/>
      <c r="C641" s="157"/>
      <c r="D641" s="157"/>
      <c r="E641" s="157"/>
      <c r="F641" s="157"/>
      <c r="G641" s="157"/>
      <c r="H641" s="157"/>
      <c r="I641" s="157"/>
      <c r="J641" s="157"/>
      <c r="K641" s="157"/>
      <c r="L641" s="157"/>
      <c r="M641" s="157"/>
      <c r="N641" s="157"/>
    </row>
    <row r="642" spans="1:14" s="270" customFormat="1" ht="12.75">
      <c r="A642" s="157"/>
      <c r="B642" s="157"/>
      <c r="C642" s="157"/>
      <c r="D642" s="157"/>
      <c r="E642" s="157"/>
      <c r="F642" s="157"/>
      <c r="G642" s="157"/>
      <c r="H642" s="157"/>
      <c r="I642" s="157"/>
      <c r="J642" s="157"/>
      <c r="K642" s="157"/>
      <c r="L642" s="157"/>
      <c r="M642" s="157"/>
      <c r="N642" s="157"/>
    </row>
    <row r="643" spans="1:14" s="270" customFormat="1" ht="12.75">
      <c r="A643" s="157"/>
      <c r="B643" s="157"/>
      <c r="C643" s="157"/>
      <c r="D643" s="157"/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</row>
    <row r="644" spans="1:14" s="270" customFormat="1" ht="12.75">
      <c r="A644" s="157"/>
      <c r="B644" s="157"/>
      <c r="C644" s="157"/>
      <c r="D644" s="157"/>
      <c r="E644" s="157"/>
      <c r="F644" s="157"/>
      <c r="G644" s="157"/>
      <c r="H644" s="157"/>
      <c r="I644" s="157"/>
      <c r="J644" s="157"/>
      <c r="K644" s="157"/>
      <c r="L644" s="157"/>
      <c r="M644" s="157"/>
      <c r="N644" s="157"/>
    </row>
    <row r="645" spans="1:14" s="270" customFormat="1" ht="12.75">
      <c r="A645" s="157"/>
      <c r="B645" s="157"/>
      <c r="C645" s="157"/>
      <c r="D645" s="157"/>
      <c r="E645" s="157"/>
      <c r="F645" s="157"/>
      <c r="G645" s="157"/>
      <c r="H645" s="157"/>
      <c r="I645" s="157"/>
      <c r="J645" s="157"/>
      <c r="K645" s="157"/>
      <c r="L645" s="157"/>
      <c r="M645" s="157"/>
      <c r="N645" s="157"/>
    </row>
    <row r="646" spans="1:14" s="270" customFormat="1" ht="12.75">
      <c r="A646" s="157"/>
      <c r="B646" s="157"/>
      <c r="C646" s="157"/>
      <c r="D646" s="157"/>
      <c r="E646" s="157"/>
      <c r="F646" s="157"/>
      <c r="G646" s="157"/>
      <c r="H646" s="157"/>
      <c r="I646" s="157"/>
      <c r="J646" s="157"/>
      <c r="K646" s="157"/>
      <c r="L646" s="157"/>
      <c r="M646" s="157"/>
      <c r="N646" s="157"/>
    </row>
    <row r="647" spans="1:14" s="270" customFormat="1" ht="12.75">
      <c r="A647" s="157"/>
      <c r="B647" s="157"/>
      <c r="C647" s="157"/>
      <c r="D647" s="157"/>
      <c r="E647" s="157"/>
      <c r="F647" s="157"/>
      <c r="G647" s="157"/>
      <c r="H647" s="157"/>
      <c r="I647" s="157"/>
      <c r="J647" s="157"/>
      <c r="K647" s="157"/>
      <c r="L647" s="157"/>
      <c r="M647" s="157"/>
      <c r="N647" s="157"/>
    </row>
    <row r="648" spans="1:14" s="270" customFormat="1" ht="12.75">
      <c r="A648" s="157"/>
      <c r="B648" s="157"/>
      <c r="C648" s="157"/>
      <c r="D648" s="157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</row>
    <row r="649" spans="1:14" s="270" customFormat="1" ht="12.75">
      <c r="A649" s="157"/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</row>
    <row r="650" spans="1:14" s="270" customFormat="1" ht="12.75">
      <c r="A650" s="157"/>
      <c r="B650" s="157"/>
      <c r="C650" s="157"/>
      <c r="D650" s="157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</row>
    <row r="651" spans="1:14" s="270" customFormat="1" ht="12.75">
      <c r="A651" s="157"/>
      <c r="B651" s="157"/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</row>
    <row r="652" spans="1:14" s="270" customFormat="1" ht="12.75">
      <c r="A652" s="157"/>
      <c r="B652" s="157"/>
      <c r="C652" s="157"/>
      <c r="D652" s="157"/>
      <c r="E652" s="157"/>
      <c r="F652" s="157"/>
      <c r="G652" s="157"/>
      <c r="H652" s="157"/>
      <c r="I652" s="157"/>
      <c r="J652" s="157"/>
      <c r="K652" s="157"/>
      <c r="L652" s="157"/>
      <c r="M652" s="157"/>
      <c r="N652" s="157"/>
    </row>
    <row r="653" spans="1:14" s="270" customFormat="1" ht="12.75">
      <c r="A653" s="157"/>
      <c r="B653" s="157"/>
      <c r="C653" s="157"/>
      <c r="D653" s="157"/>
      <c r="E653" s="157"/>
      <c r="F653" s="157"/>
      <c r="G653" s="157"/>
      <c r="H653" s="157"/>
      <c r="I653" s="157"/>
      <c r="J653" s="157"/>
      <c r="K653" s="157"/>
      <c r="L653" s="157"/>
      <c r="M653" s="157"/>
      <c r="N653" s="157"/>
    </row>
    <row r="654" spans="1:14" s="270" customFormat="1" ht="12.75">
      <c r="A654" s="157"/>
      <c r="B654" s="157"/>
      <c r="C654" s="157"/>
      <c r="D654" s="157"/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</row>
    <row r="655" spans="1:14" s="270" customFormat="1" ht="12.75">
      <c r="A655" s="157"/>
      <c r="B655" s="157"/>
      <c r="C655" s="157"/>
      <c r="D655" s="157"/>
      <c r="E655" s="157"/>
      <c r="F655" s="157"/>
      <c r="G655" s="157"/>
      <c r="H655" s="157"/>
      <c r="I655" s="157"/>
      <c r="J655" s="157"/>
      <c r="K655" s="157"/>
      <c r="L655" s="157"/>
      <c r="M655" s="157"/>
      <c r="N655" s="157"/>
    </row>
    <row r="656" spans="1:14" s="270" customFormat="1" ht="12.75">
      <c r="A656" s="157"/>
      <c r="B656" s="157"/>
      <c r="C656" s="157"/>
      <c r="D656" s="157"/>
      <c r="E656" s="157"/>
      <c r="F656" s="157"/>
      <c r="G656" s="157"/>
      <c r="H656" s="157"/>
      <c r="I656" s="157"/>
      <c r="J656" s="157"/>
      <c r="K656" s="157"/>
      <c r="L656" s="157"/>
      <c r="M656" s="157"/>
      <c r="N656" s="157"/>
    </row>
    <row r="657" spans="1:14" s="270" customFormat="1" ht="12.75">
      <c r="A657" s="157"/>
      <c r="B657" s="157"/>
      <c r="C657" s="157"/>
      <c r="D657" s="157"/>
      <c r="E657" s="157"/>
      <c r="F657" s="157"/>
      <c r="G657" s="157"/>
      <c r="H657" s="157"/>
      <c r="I657" s="157"/>
      <c r="J657" s="157"/>
      <c r="K657" s="157"/>
      <c r="L657" s="157"/>
      <c r="M657" s="157"/>
      <c r="N657" s="157"/>
    </row>
    <row r="658" spans="1:14" s="270" customFormat="1" ht="12.75">
      <c r="A658" s="157"/>
      <c r="B658" s="157"/>
      <c r="C658" s="157"/>
      <c r="D658" s="157"/>
      <c r="E658" s="157"/>
      <c r="F658" s="157"/>
      <c r="G658" s="157"/>
      <c r="H658" s="157"/>
      <c r="I658" s="157"/>
      <c r="J658" s="157"/>
      <c r="K658" s="157"/>
      <c r="L658" s="157"/>
      <c r="M658" s="157"/>
      <c r="N658" s="157"/>
    </row>
    <row r="659" spans="1:14" s="270" customFormat="1" ht="12.75">
      <c r="A659" s="157"/>
      <c r="B659" s="157"/>
      <c r="C659" s="157"/>
      <c r="D659" s="157"/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</row>
    <row r="660" spans="1:14" s="270" customFormat="1" ht="12.75">
      <c r="A660" s="157"/>
      <c r="B660" s="157"/>
      <c r="C660" s="157"/>
      <c r="D660" s="157"/>
      <c r="E660" s="157"/>
      <c r="F660" s="157"/>
      <c r="G660" s="157"/>
      <c r="H660" s="157"/>
      <c r="I660" s="157"/>
      <c r="J660" s="157"/>
      <c r="K660" s="157"/>
      <c r="L660" s="157"/>
      <c r="M660" s="157"/>
      <c r="N660" s="157"/>
    </row>
    <row r="661" spans="1:14" s="270" customFormat="1" ht="12.75">
      <c r="A661" s="157"/>
      <c r="B661" s="157"/>
      <c r="C661" s="157"/>
      <c r="D661" s="157"/>
      <c r="E661" s="157"/>
      <c r="F661" s="157"/>
      <c r="G661" s="157"/>
      <c r="H661" s="157"/>
      <c r="I661" s="157"/>
      <c r="J661" s="157"/>
      <c r="K661" s="157"/>
      <c r="L661" s="157"/>
      <c r="M661" s="157"/>
      <c r="N661" s="157"/>
    </row>
    <row r="662" spans="1:14" s="270" customFormat="1" ht="12.75">
      <c r="A662" s="157"/>
      <c r="B662" s="157"/>
      <c r="C662" s="157"/>
      <c r="D662" s="157"/>
      <c r="E662" s="157"/>
      <c r="F662" s="157"/>
      <c r="G662" s="157"/>
      <c r="H662" s="157"/>
      <c r="I662" s="157"/>
      <c r="J662" s="157"/>
      <c r="K662" s="157"/>
      <c r="L662" s="157"/>
      <c r="M662" s="157"/>
      <c r="N662" s="157"/>
    </row>
    <row r="663" spans="1:14" s="270" customFormat="1" ht="12.75">
      <c r="A663" s="157"/>
      <c r="B663" s="157"/>
      <c r="C663" s="157"/>
      <c r="D663" s="157"/>
      <c r="E663" s="157"/>
      <c r="F663" s="157"/>
      <c r="G663" s="157"/>
      <c r="H663" s="157"/>
      <c r="I663" s="157"/>
      <c r="J663" s="157"/>
      <c r="K663" s="157"/>
      <c r="L663" s="157"/>
      <c r="M663" s="157"/>
      <c r="N663" s="157"/>
    </row>
    <row r="664" spans="1:14" s="270" customFormat="1" ht="12.75">
      <c r="A664" s="157"/>
      <c r="B664" s="157"/>
      <c r="C664" s="157"/>
      <c r="D664" s="157"/>
      <c r="E664" s="157"/>
      <c r="F664" s="157"/>
      <c r="G664" s="157"/>
      <c r="H664" s="157"/>
      <c r="I664" s="157"/>
      <c r="J664" s="157"/>
      <c r="K664" s="157"/>
      <c r="L664" s="157"/>
      <c r="M664" s="157"/>
      <c r="N664" s="157"/>
    </row>
  </sheetData>
  <mergeCells count="70">
    <mergeCell ref="B154:N154"/>
    <mergeCell ref="B368:N369"/>
    <mergeCell ref="B385:N385"/>
    <mergeCell ref="B391:N391"/>
    <mergeCell ref="B300:N300"/>
    <mergeCell ref="B322:N322"/>
    <mergeCell ref="B323:N323"/>
    <mergeCell ref="B327:N327"/>
    <mergeCell ref="B215:N215"/>
    <mergeCell ref="B254:N254"/>
    <mergeCell ref="B361:M362"/>
    <mergeCell ref="B381:N381"/>
    <mergeCell ref="B284:N284"/>
    <mergeCell ref="B356:N356"/>
    <mergeCell ref="B305:M306"/>
    <mergeCell ref="B292:N292"/>
    <mergeCell ref="B630:M631"/>
    <mergeCell ref="B604:M605"/>
    <mergeCell ref="B456:M457"/>
    <mergeCell ref="B625:N626"/>
    <mergeCell ref="B589:N590"/>
    <mergeCell ref="B594:N595"/>
    <mergeCell ref="B599:N600"/>
    <mergeCell ref="B541:N542"/>
    <mergeCell ref="B533:N533"/>
    <mergeCell ref="B534:N534"/>
    <mergeCell ref="B510:N510"/>
    <mergeCell ref="B509:N509"/>
    <mergeCell ref="B525:N525"/>
    <mergeCell ref="B517:N518"/>
    <mergeCell ref="B504:N504"/>
    <mergeCell ref="B465:M466"/>
    <mergeCell ref="A1:N1"/>
    <mergeCell ref="H2:N2"/>
    <mergeCell ref="C3:N3"/>
    <mergeCell ref="H5:N5"/>
    <mergeCell ref="C4:N4"/>
    <mergeCell ref="A3:B3"/>
    <mergeCell ref="A4:B4"/>
    <mergeCell ref="A5:B5"/>
    <mergeCell ref="C5:E5"/>
    <mergeCell ref="F5:G5"/>
    <mergeCell ref="A2:B2"/>
    <mergeCell ref="C2:E2"/>
    <mergeCell ref="B573:N573"/>
    <mergeCell ref="B581:N581"/>
    <mergeCell ref="B609:N609"/>
    <mergeCell ref="B408:N408"/>
    <mergeCell ref="B496:N496"/>
    <mergeCell ref="B491:N491"/>
    <mergeCell ref="B413:M414"/>
    <mergeCell ref="B449:E449"/>
    <mergeCell ref="C450:D450"/>
    <mergeCell ref="B500:N500"/>
    <mergeCell ref="F6:G6"/>
    <mergeCell ref="H6:N6"/>
    <mergeCell ref="C451:D451"/>
    <mergeCell ref="B69:N69"/>
    <mergeCell ref="B336:N336"/>
    <mergeCell ref="B318:N318"/>
    <mergeCell ref="B376:N376"/>
    <mergeCell ref="B380:N380"/>
    <mergeCell ref="B337:N337"/>
    <mergeCell ref="B141:N141"/>
    <mergeCell ref="B240:N240"/>
    <mergeCell ref="B244:N244"/>
    <mergeCell ref="B396:N397"/>
    <mergeCell ref="A6:B6"/>
    <mergeCell ref="C6:E6"/>
    <mergeCell ref="B341:N341"/>
  </mergeCells>
  <printOptions/>
  <pageMargins left="0.2362204724409449" right="0.2362204724409449" top="0.7480314960629921" bottom="0.7480314960629921" header="0.31496062992125984" footer="0.31496062992125984"/>
  <pageSetup fitToHeight="13" horizontalDpi="360" verticalDpi="360" orientation="portrait" paperSize="9" scale="60" r:id="rId2"/>
  <rowBreaks count="7" manualBreakCount="7">
    <brk id="68" max="16383" man="1"/>
    <brk id="140" max="16383" man="1"/>
    <brk id="212" max="16383" man="1"/>
    <brk id="283" max="16383" man="1"/>
    <brk id="351" max="16383" man="1"/>
    <brk id="411" max="16383" man="1"/>
    <brk id="559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view="pageBreakPreview" zoomScale="90" zoomScaleSheetLayoutView="90" workbookViewId="0" topLeftCell="A10">
      <selection activeCell="F24" sqref="F24"/>
    </sheetView>
  </sheetViews>
  <sheetFormatPr defaultColWidth="9.140625" defaultRowHeight="12.75"/>
  <cols>
    <col min="1" max="1" width="9.57421875" style="5" bestFit="1" customWidth="1"/>
    <col min="2" max="2" width="16.8515625" style="5" customWidth="1"/>
    <col min="3" max="3" width="12.421875" style="5" customWidth="1"/>
    <col min="4" max="4" width="11.00390625" style="5" customWidth="1"/>
    <col min="5" max="11" width="9.140625" style="5" customWidth="1"/>
  </cols>
  <sheetData>
    <row r="1" spans="1:14" s="2" customFormat="1" ht="87" customHeight="1">
      <c r="A1" s="1082" t="s">
        <v>134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</row>
    <row r="2" spans="1:14" s="28" customFormat="1" ht="15">
      <c r="A2" s="895" t="s">
        <v>57</v>
      </c>
      <c r="B2" s="895"/>
      <c r="C2" s="1074" t="str">
        <f>'ORÇAMENTO NÃO DESONERADO'!B2</f>
        <v>PREFEITURA MUNICIPAL DE OURÉM</v>
      </c>
      <c r="D2" s="997"/>
      <c r="E2" s="997"/>
      <c r="F2" s="997"/>
      <c r="G2" s="998"/>
      <c r="H2" s="13" t="s">
        <v>95</v>
      </c>
      <c r="I2" s="13"/>
      <c r="J2" s="1111" t="s">
        <v>172</v>
      </c>
      <c r="K2" s="1112"/>
      <c r="L2" s="1112"/>
      <c r="M2" s="1112"/>
      <c r="N2" s="1113"/>
    </row>
    <row r="3" spans="1:14" s="28" customFormat="1" ht="15">
      <c r="A3" s="895" t="s">
        <v>58</v>
      </c>
      <c r="B3" s="895"/>
      <c r="C3" s="896" t="str">
        <f>'ORÇAMENTO NÃO DESONERADO'!B3</f>
        <v>CONSTRUÇÃO DE TERMINAL RODOVIÁRIO ETAPA-02</v>
      </c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</row>
    <row r="4" spans="1:14" s="28" customFormat="1" ht="15" customHeight="1">
      <c r="A4" s="880" t="s">
        <v>59</v>
      </c>
      <c r="B4" s="880"/>
      <c r="C4" s="1043" t="str">
        <f>'ORÇAMENTO NÃO DESONERADO'!B4</f>
        <v>RUA JOAQUIM DIONISIO COM RUA PERSEVERANDO S/N. PRAÇA DO TERMINAL OURÉM/PA</v>
      </c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</row>
    <row r="5" spans="1:14" s="28" customFormat="1" ht="15">
      <c r="A5" s="895" t="s">
        <v>60</v>
      </c>
      <c r="B5" s="895"/>
      <c r="C5" s="1079">
        <f>'BDI NÃO DESONERADO'!I25</f>
        <v>0.25</v>
      </c>
      <c r="D5" s="1079"/>
      <c r="E5" s="1079"/>
      <c r="F5" s="1079"/>
      <c r="G5" s="1079"/>
      <c r="H5" s="880" t="s">
        <v>36</v>
      </c>
      <c r="I5" s="880"/>
      <c r="J5" s="1045" t="str">
        <f>'ORÇAMENTO NÃO DESONERADO'!F6</f>
        <v>SINAPI - JULHO DE 2020</v>
      </c>
      <c r="K5" s="1045"/>
      <c r="L5" s="1045"/>
      <c r="M5" s="1045"/>
      <c r="N5" s="1045"/>
    </row>
    <row r="6" spans="1:14" s="28" customFormat="1" ht="15" customHeight="1">
      <c r="A6" s="880" t="s">
        <v>96</v>
      </c>
      <c r="B6" s="880"/>
      <c r="C6" s="882" t="str">
        <f>'ORÇAMENTO NÃO DESONERADO'!B6</f>
        <v xml:space="preserve"> MARUZA BAPTISTA </v>
      </c>
      <c r="D6" s="882"/>
      <c r="E6" s="882"/>
      <c r="F6" s="882"/>
      <c r="G6" s="882"/>
      <c r="H6" s="1080" t="s">
        <v>98</v>
      </c>
      <c r="I6" s="1080"/>
      <c r="J6" s="1047" t="s">
        <v>99</v>
      </c>
      <c r="K6" s="1047"/>
      <c r="L6" s="1047"/>
      <c r="M6" s="1047"/>
      <c r="N6" s="1047"/>
    </row>
    <row r="7" spans="1:14" s="28" customFormat="1" ht="14.25">
      <c r="A7" s="880"/>
      <c r="B7" s="880"/>
      <c r="C7" s="882"/>
      <c r="D7" s="882"/>
      <c r="E7" s="882"/>
      <c r="F7" s="882"/>
      <c r="G7" s="882"/>
      <c r="H7" s="1080"/>
      <c r="I7" s="1080"/>
      <c r="J7" s="1047"/>
      <c r="K7" s="1047"/>
      <c r="L7" s="1047"/>
      <c r="M7" s="1047"/>
      <c r="N7" s="1047"/>
    </row>
    <row r="8" spans="1:11" s="42" customFormat="1" ht="15" customHeight="1">
      <c r="A8" s="35"/>
      <c r="B8" s="35"/>
      <c r="C8" s="36"/>
      <c r="D8" s="36"/>
      <c r="E8" s="36"/>
      <c r="F8" s="36"/>
      <c r="G8" s="36"/>
      <c r="H8" s="38"/>
      <c r="I8" s="38"/>
      <c r="J8" s="38"/>
      <c r="K8" s="38"/>
    </row>
    <row r="9" spans="1:14" s="24" customFormat="1" ht="15" customHeight="1">
      <c r="A9" s="825">
        <f>'ORÇAMENTO NÃO DESONERADO'!A155</f>
        <v>6</v>
      </c>
      <c r="B9" s="351" t="str">
        <f>'ORÇAMENTO NÃO DESONERADO'!C155</f>
        <v>SERVIÇOS FINAIS</v>
      </c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532"/>
    </row>
    <row r="10" spans="1:15" s="24" customFormat="1" ht="15">
      <c r="A10" s="826"/>
      <c r="B10" s="826"/>
      <c r="C10" s="827"/>
      <c r="D10" s="827"/>
      <c r="E10" s="827"/>
      <c r="F10" s="827"/>
      <c r="G10" s="827"/>
      <c r="H10" s="827"/>
      <c r="I10" s="827"/>
      <c r="J10" s="827"/>
      <c r="K10" s="827"/>
      <c r="L10" s="828"/>
      <c r="M10" s="74"/>
      <c r="N10" s="74"/>
      <c r="O10" s="157"/>
    </row>
    <row r="11" spans="1:15" s="24" customFormat="1" ht="15">
      <c r="A11" s="791" t="str">
        <f>'ORÇAMENTO NÃO DESONERADO'!A156</f>
        <v>6.1</v>
      </c>
      <c r="B11" s="87" t="str">
        <f>'ORÇAMENTO NÃO DESONERADO'!C156</f>
        <v>LIMPEZA FINAL DA OBRA</v>
      </c>
      <c r="C11" s="277"/>
      <c r="D11" s="74"/>
      <c r="E11" s="277"/>
      <c r="F11" s="277"/>
      <c r="G11" s="74"/>
      <c r="H11" s="74"/>
      <c r="I11" s="74"/>
      <c r="J11" s="74"/>
      <c r="K11" s="791"/>
      <c r="L11" s="74"/>
      <c r="M11" s="74"/>
      <c r="N11" s="74"/>
      <c r="O11" s="157"/>
    </row>
    <row r="12" spans="1:15" s="24" customFormat="1" ht="15">
      <c r="A12" s="87"/>
      <c r="B12" s="87"/>
      <c r="C12" s="277"/>
      <c r="D12" s="74"/>
      <c r="E12" s="277"/>
      <c r="F12" s="277"/>
      <c r="G12" s="74"/>
      <c r="H12" s="74"/>
      <c r="I12" s="74"/>
      <c r="J12" s="74"/>
      <c r="K12" s="791"/>
      <c r="L12" s="74"/>
      <c r="M12" s="74"/>
      <c r="N12" s="74"/>
      <c r="O12" s="157"/>
    </row>
    <row r="13" spans="1:15" s="24" customFormat="1" ht="15">
      <c r="A13" s="87"/>
      <c r="B13" s="267"/>
      <c r="C13" s="74" t="s">
        <v>31</v>
      </c>
      <c r="D13" s="268"/>
      <c r="E13" s="277" t="s">
        <v>34</v>
      </c>
      <c r="F13" s="277"/>
      <c r="G13" s="277"/>
      <c r="H13" s="277"/>
      <c r="I13" s="74"/>
      <c r="J13" s="74"/>
      <c r="K13" s="791"/>
      <c r="L13" s="74"/>
      <c r="M13" s="74"/>
      <c r="N13" s="74"/>
      <c r="O13" s="157"/>
    </row>
    <row r="14" spans="1:15" s="24" customFormat="1" ht="15">
      <c r="A14" s="87"/>
      <c r="B14" s="808" t="s">
        <v>175</v>
      </c>
      <c r="C14" s="656">
        <v>19</v>
      </c>
      <c r="D14" s="277" t="s">
        <v>28</v>
      </c>
      <c r="E14" s="277">
        <v>16.5</v>
      </c>
      <c r="F14" s="277" t="s">
        <v>29</v>
      </c>
      <c r="G14" s="277">
        <f>ROUND((C14*E14),2)</f>
        <v>313.5</v>
      </c>
      <c r="H14" s="277" t="s">
        <v>2</v>
      </c>
      <c r="I14" s="74"/>
      <c r="J14" s="74"/>
      <c r="K14" s="791"/>
      <c r="L14" s="74"/>
      <c r="M14" s="74"/>
      <c r="N14" s="74"/>
      <c r="O14" s="157"/>
    </row>
    <row r="15" spans="1:15" s="24" customFormat="1" ht="15">
      <c r="A15" s="87"/>
      <c r="B15" s="87"/>
      <c r="C15" s="277"/>
      <c r="D15" s="74"/>
      <c r="E15" s="277"/>
      <c r="F15" s="277"/>
      <c r="G15" s="74"/>
      <c r="H15" s="74"/>
      <c r="I15" s="74"/>
      <c r="J15" s="74"/>
      <c r="K15" s="791"/>
      <c r="L15" s="74"/>
      <c r="M15" s="74"/>
      <c r="N15" s="74"/>
      <c r="O15" s="157"/>
    </row>
    <row r="16" spans="1:15" s="24" customFormat="1" ht="15">
      <c r="A16" s="87"/>
      <c r="B16" s="794" t="s">
        <v>27</v>
      </c>
      <c r="C16" s="797">
        <f>G14</f>
        <v>313.5</v>
      </c>
      <c r="D16" s="798" t="s">
        <v>2</v>
      </c>
      <c r="E16" s="277"/>
      <c r="F16" s="277"/>
      <c r="G16" s="74"/>
      <c r="H16" s="74"/>
      <c r="I16" s="74"/>
      <c r="J16" s="74"/>
      <c r="K16" s="791"/>
      <c r="L16" s="74"/>
      <c r="M16" s="74"/>
      <c r="N16" s="74"/>
      <c r="O16" s="157"/>
    </row>
    <row r="17" spans="1:15" s="24" customFormat="1" ht="15">
      <c r="A17" s="87"/>
      <c r="B17" s="808"/>
      <c r="C17" s="277"/>
      <c r="D17" s="74"/>
      <c r="E17" s="277"/>
      <c r="F17" s="277"/>
      <c r="G17" s="74"/>
      <c r="H17" s="74"/>
      <c r="I17" s="74"/>
      <c r="J17" s="74"/>
      <c r="K17" s="791"/>
      <c r="L17" s="74"/>
      <c r="M17" s="74"/>
      <c r="N17" s="74"/>
      <c r="O17" s="157"/>
    </row>
    <row r="18" spans="1:15" s="24" customFormat="1" ht="15">
      <c r="A18" s="87"/>
      <c r="B18" s="87"/>
      <c r="C18" s="277"/>
      <c r="D18" s="74"/>
      <c r="E18" s="277"/>
      <c r="F18" s="277"/>
      <c r="G18" s="74"/>
      <c r="H18" s="74"/>
      <c r="I18" s="74"/>
      <c r="J18" s="74"/>
      <c r="K18" s="791"/>
      <c r="L18" s="74"/>
      <c r="M18" s="74"/>
      <c r="N18" s="74"/>
      <c r="O18" s="157"/>
    </row>
    <row r="19" spans="1:15" s="24" customFormat="1" ht="15">
      <c r="A19" s="816"/>
      <c r="B19" s="816"/>
      <c r="C19" s="793"/>
      <c r="D19" s="157"/>
      <c r="E19" s="793"/>
      <c r="F19" s="793"/>
      <c r="G19" s="157"/>
      <c r="H19" s="157"/>
      <c r="I19" s="74"/>
      <c r="J19" s="74"/>
      <c r="K19" s="817"/>
      <c r="L19" s="157"/>
      <c r="M19" s="157"/>
      <c r="N19" s="157"/>
      <c r="O19" s="157"/>
    </row>
    <row r="20" spans="1:15" ht="12.75">
      <c r="A20" s="818"/>
      <c r="B20" s="818"/>
      <c r="C20" s="819"/>
      <c r="D20" s="368"/>
      <c r="E20" s="819"/>
      <c r="F20" s="819"/>
      <c r="G20" s="368"/>
      <c r="H20" s="368"/>
      <c r="I20" s="820"/>
      <c r="J20" s="820"/>
      <c r="K20" s="821"/>
      <c r="L20" s="270"/>
      <c r="M20" s="270"/>
      <c r="N20" s="270"/>
      <c r="O20" s="270"/>
    </row>
    <row r="21" spans="1:15" ht="12.75">
      <c r="A21" s="818"/>
      <c r="B21" s="818"/>
      <c r="C21" s="819"/>
      <c r="D21" s="368"/>
      <c r="E21" s="819"/>
      <c r="F21" s="819"/>
      <c r="G21" s="368"/>
      <c r="H21" s="368"/>
      <c r="I21" s="820"/>
      <c r="J21" s="820"/>
      <c r="K21" s="821"/>
      <c r="L21" s="270"/>
      <c r="M21" s="270"/>
      <c r="N21" s="270"/>
      <c r="O21" s="270"/>
    </row>
    <row r="22" spans="1:15" ht="12.75">
      <c r="A22" s="818"/>
      <c r="B22" s="818"/>
      <c r="C22" s="819"/>
      <c r="D22" s="368"/>
      <c r="E22" s="819"/>
      <c r="F22" s="819"/>
      <c r="G22" s="368"/>
      <c r="H22" s="368"/>
      <c r="I22" s="820"/>
      <c r="J22" s="820"/>
      <c r="K22" s="821"/>
      <c r="L22" s="270"/>
      <c r="M22" s="270"/>
      <c r="N22" s="270"/>
      <c r="O22" s="270"/>
    </row>
    <row r="23" spans="1:15" ht="12.75">
      <c r="A23" s="818"/>
      <c r="B23" s="818"/>
      <c r="C23" s="819"/>
      <c r="D23" s="368"/>
      <c r="E23" s="819"/>
      <c r="F23" s="819"/>
      <c r="G23" s="368"/>
      <c r="H23" s="368"/>
      <c r="I23" s="820"/>
      <c r="J23" s="820"/>
      <c r="K23" s="821"/>
      <c r="L23" s="270"/>
      <c r="M23" s="270"/>
      <c r="N23" s="270"/>
      <c r="O23" s="270"/>
    </row>
    <row r="24" spans="1:15" ht="12.75">
      <c r="A24" s="818"/>
      <c r="B24" s="818"/>
      <c r="C24" s="819"/>
      <c r="D24" s="368"/>
      <c r="E24" s="819"/>
      <c r="F24" s="819"/>
      <c r="G24" s="368"/>
      <c r="H24" s="368"/>
      <c r="I24" s="820"/>
      <c r="J24" s="820"/>
      <c r="K24" s="821"/>
      <c r="L24" s="270"/>
      <c r="M24" s="270"/>
      <c r="N24" s="270"/>
      <c r="O24" s="270"/>
    </row>
    <row r="25" spans="1:15" ht="12.75">
      <c r="A25" s="818"/>
      <c r="B25" s="818"/>
      <c r="C25" s="819"/>
      <c r="D25" s="368"/>
      <c r="E25" s="819"/>
      <c r="F25" s="819"/>
      <c r="G25" s="368"/>
      <c r="H25" s="368"/>
      <c r="I25" s="820"/>
      <c r="J25" s="820"/>
      <c r="K25" s="821"/>
      <c r="L25" s="270"/>
      <c r="M25" s="270"/>
      <c r="N25" s="270"/>
      <c r="O25" s="270"/>
    </row>
    <row r="26" spans="1:15" ht="12.75">
      <c r="A26" s="818"/>
      <c r="B26" s="818"/>
      <c r="C26" s="819"/>
      <c r="D26" s="368"/>
      <c r="E26" s="819"/>
      <c r="F26" s="819"/>
      <c r="G26" s="368"/>
      <c r="H26" s="368"/>
      <c r="I26" s="820"/>
      <c r="J26" s="820"/>
      <c r="K26" s="821"/>
      <c r="L26" s="270"/>
      <c r="M26" s="270"/>
      <c r="N26" s="270"/>
      <c r="O26" s="270"/>
    </row>
    <row r="27" spans="1:15" ht="12.75">
      <c r="A27" s="818"/>
      <c r="B27" s="818"/>
      <c r="C27" s="819"/>
      <c r="D27" s="368"/>
      <c r="E27" s="819"/>
      <c r="F27" s="819"/>
      <c r="G27" s="368"/>
      <c r="H27" s="368"/>
      <c r="I27" s="820"/>
      <c r="J27" s="820"/>
      <c r="K27" s="821"/>
      <c r="L27" s="270"/>
      <c r="M27" s="270"/>
      <c r="N27" s="270"/>
      <c r="O27" s="270"/>
    </row>
    <row r="28" spans="1:15" ht="12.75">
      <c r="A28" s="818"/>
      <c r="B28" s="818"/>
      <c r="C28" s="819"/>
      <c r="D28" s="368"/>
      <c r="E28" s="819"/>
      <c r="F28" s="819"/>
      <c r="G28" s="368"/>
      <c r="H28" s="368"/>
      <c r="I28" s="820"/>
      <c r="J28" s="820"/>
      <c r="K28" s="821"/>
      <c r="L28" s="270"/>
      <c r="M28" s="270"/>
      <c r="N28" s="270"/>
      <c r="O28" s="270"/>
    </row>
    <row r="29" spans="1:15" ht="12.75">
      <c r="A29" s="818"/>
      <c r="B29" s="818"/>
      <c r="C29" s="819"/>
      <c r="D29" s="368"/>
      <c r="E29" s="819"/>
      <c r="F29" s="819"/>
      <c r="G29" s="368"/>
      <c r="H29" s="368"/>
      <c r="I29" s="820"/>
      <c r="J29" s="820"/>
      <c r="K29" s="821"/>
      <c r="L29" s="270"/>
      <c r="M29" s="270"/>
      <c r="N29" s="270"/>
      <c r="O29" s="270"/>
    </row>
    <row r="30" spans="1:15" ht="12.75">
      <c r="A30" s="818"/>
      <c r="B30" s="818"/>
      <c r="C30" s="819"/>
      <c r="D30" s="368"/>
      <c r="E30" s="819"/>
      <c r="F30" s="819"/>
      <c r="G30" s="368"/>
      <c r="H30" s="368"/>
      <c r="I30" s="820"/>
      <c r="J30" s="820"/>
      <c r="K30" s="821"/>
      <c r="L30" s="270"/>
      <c r="M30" s="270"/>
      <c r="N30" s="270"/>
      <c r="O30" s="270"/>
    </row>
    <row r="31" spans="1:15" ht="12.75">
      <c r="A31" s="818"/>
      <c r="B31" s="1126"/>
      <c r="C31" s="1126"/>
      <c r="D31" s="1126"/>
      <c r="E31" s="1126"/>
      <c r="F31" s="819"/>
      <c r="G31" s="368"/>
      <c r="H31" s="368"/>
      <c r="I31" s="368"/>
      <c r="J31" s="368"/>
      <c r="K31" s="821"/>
      <c r="L31" s="270"/>
      <c r="M31" s="270"/>
      <c r="N31" s="270"/>
      <c r="O31" s="270"/>
    </row>
    <row r="32" spans="1:15" ht="12.75">
      <c r="A32" s="818"/>
      <c r="B32" s="819"/>
      <c r="C32" s="819"/>
      <c r="D32" s="368"/>
      <c r="E32" s="819"/>
      <c r="F32" s="819"/>
      <c r="G32" s="368"/>
      <c r="H32" s="368"/>
      <c r="I32" s="368"/>
      <c r="J32" s="368"/>
      <c r="K32" s="821"/>
      <c r="L32" s="270"/>
      <c r="M32" s="270"/>
      <c r="N32" s="270"/>
      <c r="O32" s="270"/>
    </row>
    <row r="33" ht="12.75">
      <c r="K33" s="1"/>
    </row>
    <row r="34" ht="12.75">
      <c r="K34" s="4"/>
    </row>
    <row r="35" ht="12.75">
      <c r="K35" s="4"/>
    </row>
    <row r="36" ht="12.75">
      <c r="K36" s="6"/>
    </row>
    <row r="37" ht="12.75">
      <c r="K37" s="6"/>
    </row>
  </sheetData>
  <mergeCells count="17">
    <mergeCell ref="C6:G7"/>
    <mergeCell ref="H6:I7"/>
    <mergeCell ref="J6:N7"/>
    <mergeCell ref="B31:E31"/>
    <mergeCell ref="A6:B7"/>
    <mergeCell ref="A1:N1"/>
    <mergeCell ref="A2:B2"/>
    <mergeCell ref="C2:G2"/>
    <mergeCell ref="J2:N2"/>
    <mergeCell ref="A3:B3"/>
    <mergeCell ref="C3:N3"/>
    <mergeCell ref="A4:B4"/>
    <mergeCell ref="C4:N4"/>
    <mergeCell ref="A5:B5"/>
    <mergeCell ref="C5:G5"/>
    <mergeCell ref="H5:I5"/>
    <mergeCell ref="J5:N5"/>
  </mergeCells>
  <printOptions/>
  <pageMargins left="0.25" right="0.25" top="0.75" bottom="0.75" header="0.3" footer="0.3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Baptista</cp:lastModifiedBy>
  <cp:lastPrinted>2021-05-05T20:02:29Z</cp:lastPrinted>
  <dcterms:created xsi:type="dcterms:W3CDTF">2009-07-02T17:29:30Z</dcterms:created>
  <dcterms:modified xsi:type="dcterms:W3CDTF">2021-05-06T14:56:15Z</dcterms:modified>
  <cp:category/>
  <cp:version/>
  <cp:contentType/>
  <cp:contentStatus/>
</cp:coreProperties>
</file>