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65416" yWindow="65416" windowWidth="20730" windowHeight="11160" activeTab="1"/>
  </bookViews>
  <sheets>
    <sheet name="Resumo" sheetId="5" r:id="rId1"/>
    <sheet name="Planilha Orç Não Deson." sheetId="1" r:id="rId2"/>
    <sheet name="LISTA DE VIAS" sheetId="15" r:id="rId3"/>
    <sheet name="BDI Não Deson." sheetId="3" r:id="rId4"/>
    <sheet name="Enc.Soc. " sheetId="4" r:id="rId5"/>
    <sheet name="Cronograma Físico-Financeiro" sheetId="6" r:id="rId6"/>
    <sheet name="Áreas" sheetId="12" state="hidden" r:id="rId7"/>
    <sheet name="Estrutura" sheetId="13" state="hidden" r:id="rId8"/>
    <sheet name="Cronograma Físico" sheetId="8" state="hidden" r:id="rId9"/>
    <sheet name="Composição" sheetId="7" state="hidden" r:id="rId10"/>
    <sheet name="Quadro_Áreas" sheetId="2" state="hidden" r:id="rId11"/>
  </sheets>
  <externalReferences>
    <externalReference r:id="rId14"/>
    <externalReference r:id="rId15"/>
  </externalReferences>
  <definedNames>
    <definedName name="_xlnm.Print_Area" localSheetId="3">'BDI Não Deson.'!$A$1:$I$75</definedName>
    <definedName name="_xlnm.Print_Area" localSheetId="9">'Composição'!$A$1:$H$42</definedName>
    <definedName name="_xlnm.Print_Area" localSheetId="8">'Cronograma Físico'!$A$1:$AV$14</definedName>
    <definedName name="_xlnm.Print_Area" localSheetId="5">'Cronograma Físico-Financeiro'!$A$1:$O$33</definedName>
    <definedName name="_xlnm.Print_Area" localSheetId="1">'Planilha Orç Não Deson.'!$A$3:$I$33</definedName>
    <definedName name="_xlnm.Print_Area" localSheetId="0">'Resumo'!$A$1:$H$28</definedName>
  </definedNames>
  <calcPr calcId="181029"/>
</workbook>
</file>

<file path=xl/comments8.xml><?xml version="1.0" encoding="utf-8"?>
<comments xmlns="http://schemas.openxmlformats.org/spreadsheetml/2006/main">
  <authors>
    <author>Usuário do Windows</author>
  </authors>
  <commentList>
    <comment ref="B33" authorId="0">
      <text>
        <r>
          <rPr>
            <b/>
            <sz val="9"/>
            <rFont val="Segoe UI"/>
            <family val="2"/>
          </rPr>
          <t>Fachada + Sala de Audiência</t>
        </r>
      </text>
    </comment>
  </commentList>
</comments>
</file>

<file path=xl/sharedStrings.xml><?xml version="1.0" encoding="utf-8"?>
<sst xmlns="http://schemas.openxmlformats.org/spreadsheetml/2006/main" count="628" uniqueCount="381">
  <si>
    <t>VALOR TOTAL DA OBRA</t>
  </si>
  <si>
    <t>OBJETO</t>
  </si>
  <si>
    <t>LOCAL</t>
  </si>
  <si>
    <t>BDI</t>
  </si>
  <si>
    <t>RESUMO</t>
  </si>
  <si>
    <t>ITEM</t>
  </si>
  <si>
    <t>ETAPA/SERVIÇO</t>
  </si>
  <si>
    <t>PREÇO TOTAL</t>
  </si>
  <si>
    <t>%</t>
  </si>
  <si>
    <t xml:space="preserve">DEIVISON DA SILVA AVIZ                                                                                                                                                                                                                                               GL CONSTRUTORA LTDA
RESPONSÁVEL TÉCNICO
</t>
  </si>
  <si>
    <t>PROPONENTE</t>
  </si>
  <si>
    <t>ENG. RESPONSÁVEL</t>
  </si>
  <si>
    <t>DEIVISON DA SILVA AVIZ</t>
  </si>
  <si>
    <t>ENDEREÇO</t>
  </si>
  <si>
    <t>PLANILHA ORÇAMENTÁRIA</t>
  </si>
  <si>
    <t>Tabela</t>
  </si>
  <si>
    <t>Código</t>
  </si>
  <si>
    <t>Item</t>
  </si>
  <si>
    <t>Descrição</t>
  </si>
  <si>
    <t>Unidade</t>
  </si>
  <si>
    <t>Quantidade</t>
  </si>
  <si>
    <t>Preço Unit. s/ BDI</t>
  </si>
  <si>
    <t>Preço Unit. c/ BDI</t>
  </si>
  <si>
    <t>Preço Total</t>
  </si>
  <si>
    <t>SERVIÇOS PRELIMINARES</t>
  </si>
  <si>
    <t>1.1</t>
  </si>
  <si>
    <t>Subtototal 1</t>
  </si>
  <si>
    <t>SUB TOTAL</t>
  </si>
  <si>
    <t>2.1</t>
  </si>
  <si>
    <t>2.2</t>
  </si>
  <si>
    <t>Subtototal 2</t>
  </si>
  <si>
    <t>3.1</t>
  </si>
  <si>
    <t>3.2</t>
  </si>
  <si>
    <t>M3</t>
  </si>
  <si>
    <t>3.3</t>
  </si>
  <si>
    <t>3.4</t>
  </si>
  <si>
    <t>Subtototal 3</t>
  </si>
  <si>
    <t>PREÇO TOTAL DA OBRA</t>
  </si>
  <si>
    <t>TOTAL</t>
  </si>
  <si>
    <t xml:space="preserve">Deivison da Silva Aviz                                                                                                                                                                                                                                                                                                                                                               GL CONSTRUTORA LTDA
Responsável Técnico
</t>
  </si>
  <si>
    <t>KG</t>
  </si>
  <si>
    <t>COMPOSIÇÃO ANALÍTICA DA TAXA DE BENEFÍCIO E DESPESAS INDIRETAS (BDI)</t>
  </si>
  <si>
    <t>NÃO DESONERADO</t>
  </si>
  <si>
    <t>MUNICÍPIO/UF</t>
  </si>
  <si>
    <t>BDI (%)</t>
  </si>
  <si>
    <t>ENG. RESP.</t>
  </si>
  <si>
    <t>REGISTRO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</si>
  <si>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</si>
  <si>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</si>
  <si>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</si>
  <si>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</si>
  <si>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</si>
  <si>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</si>
  <si>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</si>
  <si>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</si>
  <si>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</si>
  <si>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</si>
  <si>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</si>
  <si>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</si>
  <si>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</si>
  <si>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</si>
  <si>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</si>
  <si>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IRPJ</t>
  </si>
  <si>
    <t>Total Impostos =</t>
  </si>
  <si>
    <t>Fórmula para o cálculo de BDI</t>
  </si>
  <si>
    <t>Notas:</t>
  </si>
  <si>
    <t>1) Alíquota de ISS é determinada pela “Relação de Serviços”  do município onde se prestará o serviço.</t>
  </si>
  <si>
    <t>2) Alíquota máxima de PIS é de até 1,65% conforme Lei nº10.637/02 em consonância com o Regime de Tributação da Empresa.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</si>
  <si>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</si>
  <si>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</si>
  <si>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</si>
  <si>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>ENCARGOS SOCIAIS COM E SEM DESONERAÇÃO</t>
  </si>
  <si>
    <t>ENCARGOS SOCIAIS SOBRE A MÃO DE OBRA</t>
  </si>
  <si>
    <t>CÓDIGO</t>
  </si>
  <si>
    <t>DESCRIÇÃO</t>
  </si>
  <si>
    <t>COM DESONERAÇÃO</t>
  </si>
  <si>
    <t>SEM DESONERAÇÃO</t>
  </si>
  <si>
    <t>HORISTA
(%)</t>
  </si>
  <si>
    <t>MENSALISTA (%)</t>
  </si>
  <si>
    <t>HORISTA 
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</si>
  <si>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</si>
  <si>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</si>
  <si>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</si>
  <si>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</si>
  <si>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</si>
  <si>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</si>
  <si>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</si>
  <si>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</si>
  <si>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</si>
  <si>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</si>
  <si>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</si>
  <si>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</si>
  <si>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</si>
  <si>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</si>
  <si>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</si>
  <si>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</si>
  <si>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</si>
  <si>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</si>
  <si>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</si>
  <si>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</si>
  <si>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Total</t>
  </si>
  <si>
    <t>GRUPO B</t>
  </si>
  <si>
    <t>B1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</si>
  <si>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</si>
  <si>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</si>
  <si>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</si>
  <si>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</si>
  <si>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</si>
  <si>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</si>
  <si>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</si>
  <si>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</si>
  <si>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</si>
  <si>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</si>
  <si>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</si>
  <si>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</si>
  <si>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</si>
  <si>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</si>
  <si>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</si>
  <si>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</si>
  <si>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</si>
  <si>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</si>
  <si>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</si>
  <si>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</si>
  <si>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</si>
  <si>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</si>
  <si>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</si>
  <si>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</si>
  <si>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</si>
  <si>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</si>
  <si>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</si>
  <si>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</si>
  <si>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</si>
  <si>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</si>
  <si>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</si>
  <si>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</si>
  <si>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</si>
  <si>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</si>
  <si>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</si>
  <si>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</si>
  <si>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</si>
  <si>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</si>
  <si>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</si>
  <si>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</si>
  <si>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t>CRONOGRAMA FÍSICO FINANCEIRO</t>
  </si>
  <si>
    <t>Nº Etapas planejadas:</t>
  </si>
  <si>
    <t>Total Investimento Previsto:</t>
  </si>
  <si>
    <t>Etapa</t>
  </si>
  <si>
    <t>Descrição da Etapa</t>
  </si>
  <si>
    <t>Início da Etapa</t>
  </si>
  <si>
    <t>Término da Etapa</t>
  </si>
  <si>
    <t>LISTA DE RUAS</t>
  </si>
  <si>
    <t>ALVENARIA</t>
  </si>
  <si>
    <t>Comprimento</t>
  </si>
  <si>
    <t>Altura</t>
  </si>
  <si>
    <t>Vão</t>
  </si>
  <si>
    <t>Área</t>
  </si>
  <si>
    <t>Audiência</t>
  </si>
  <si>
    <t>Porta recepção</t>
  </si>
  <si>
    <t>Parede lateral</t>
  </si>
  <si>
    <t>Parede fachada</t>
  </si>
  <si>
    <t>Rampa interna</t>
  </si>
  <si>
    <t>Rampa externa</t>
  </si>
  <si>
    <t>Jardim</t>
  </si>
  <si>
    <t>DEMOLIÇÃO</t>
  </si>
  <si>
    <t>Fachada</t>
  </si>
  <si>
    <t>Vão porta</t>
  </si>
  <si>
    <t>SOLEIRAS</t>
  </si>
  <si>
    <t>PV1  Entrada</t>
  </si>
  <si>
    <t>BHO</t>
  </si>
  <si>
    <t>PEITORIL</t>
  </si>
  <si>
    <t>JANELA FACHADA</t>
  </si>
  <si>
    <t>EXTERNAS</t>
  </si>
  <si>
    <t>MAXIM-AR</t>
  </si>
  <si>
    <t>REVESTIMENTO</t>
  </si>
  <si>
    <t>Bho masc.</t>
  </si>
  <si>
    <t>Bho Fem</t>
  </si>
  <si>
    <t>PCD</t>
  </si>
  <si>
    <t>Copa</t>
  </si>
  <si>
    <t>REBOCO</t>
  </si>
  <si>
    <t>Fachada lateral</t>
  </si>
  <si>
    <t>Vão Porta</t>
  </si>
  <si>
    <t>Perimetro</t>
  </si>
  <si>
    <t>Recepção</t>
  </si>
  <si>
    <t>Audiencia</t>
  </si>
  <si>
    <t>Secretária</t>
  </si>
  <si>
    <t>Espera</t>
  </si>
  <si>
    <t>Circulação</t>
  </si>
  <si>
    <t>Assistente</t>
  </si>
  <si>
    <t>Externa</t>
  </si>
  <si>
    <t>INFRAESTRUTURA</t>
  </si>
  <si>
    <t>Concreto - Sapatas</t>
  </si>
  <si>
    <t>Volume Escav. Sapatas</t>
  </si>
  <si>
    <t>Dimensões</t>
  </si>
  <si>
    <t>Volume Concreto</t>
  </si>
  <si>
    <t>Sapata 01 a 06</t>
  </si>
  <si>
    <t>0,5x0,5x0,3 m</t>
  </si>
  <si>
    <t>Aço - Sapatas</t>
  </si>
  <si>
    <t>Qnt Ferros/Sap</t>
  </si>
  <si>
    <t>Comp.</t>
  </si>
  <si>
    <t>Kg</t>
  </si>
  <si>
    <t>Aço CA50 - 10mm</t>
  </si>
  <si>
    <t>Forma - Sapatas</t>
  </si>
  <si>
    <t>Área Total/Sap</t>
  </si>
  <si>
    <t>Total Sap.</t>
  </si>
  <si>
    <t>ESTRUTURA</t>
  </si>
  <si>
    <t>Aço - Pilares</t>
  </si>
  <si>
    <t>Qnt Ferros/Pil.</t>
  </si>
  <si>
    <t>Aço CA60 - 5.0mm</t>
  </si>
  <si>
    <t>Forma - Pilares</t>
  </si>
  <si>
    <t>Área Total/Pilar</t>
  </si>
  <si>
    <t>Total Pilar</t>
  </si>
  <si>
    <t>Pilar 01 a 06</t>
  </si>
  <si>
    <t>Concreto - Pilares</t>
  </si>
  <si>
    <t>Volume</t>
  </si>
  <si>
    <t>0,15x0,20 m</t>
  </si>
  <si>
    <t>Aço - Vigas Superiores</t>
  </si>
  <si>
    <t>Qnt Ferros/Viga</t>
  </si>
  <si>
    <t>Forma - Vigas</t>
  </si>
  <si>
    <t>Área Total/Viga</t>
  </si>
  <si>
    <t>Viga</t>
  </si>
  <si>
    <t>Concreto - Viga</t>
  </si>
  <si>
    <t>CRONOGRAMA FÍSICO USF DA VILA DE SANTO ANTÔNIO, SANTARÉM NOVO/PA</t>
  </si>
  <si>
    <t>Prazo da Obra (Dias)</t>
  </si>
  <si>
    <t>Duração
(Dias Utéis)</t>
  </si>
  <si>
    <t>sex</t>
  </si>
  <si>
    <t>sáb</t>
  </si>
  <si>
    <t>dom</t>
  </si>
  <si>
    <t>seg</t>
  </si>
  <si>
    <t>ter</t>
  </si>
  <si>
    <t>qua</t>
  </si>
  <si>
    <t>qui</t>
  </si>
  <si>
    <t xml:space="preserve">Correção pontuais de telhado cerâmico e estrutura de madeira </t>
  </si>
  <si>
    <t>31/02</t>
  </si>
  <si>
    <t>Instalações elétricas</t>
  </si>
  <si>
    <t>Instalações hidrossanitárias, louças, metais e acessórios sanitários</t>
  </si>
  <si>
    <t>Instalação de janelas de aluminio</t>
  </si>
  <si>
    <t>Pintura</t>
  </si>
  <si>
    <t>COMPOSIÇÃO DE PREÇO UNITÁRIO - USF SANTO ANTÔNIO DE TROMBETAS</t>
  </si>
  <si>
    <t>Classe/Tipo</t>
  </si>
  <si>
    <t xml:space="preserve">Preço Unit. </t>
  </si>
  <si>
    <t>COBERTURA/ESTRUTURA</t>
  </si>
  <si>
    <t>INSUMO</t>
  </si>
  <si>
    <t>RIPA DE MADEIRA NAO APARELHADA *1,5 X 5* CM, MACARANDUBA, ANGELIM OU EQUIVALENTE DA REGIAO</t>
  </si>
  <si>
    <t>DÚZIA</t>
  </si>
  <si>
    <t>1.2</t>
  </si>
  <si>
    <t>CAIBRO DE MADEIRA NAO APARELHADA *5 X 6* CM, MACARANDUBA, ANGELIM OU EQUIVALENTE DA REGIAO</t>
  </si>
  <si>
    <t>1.3</t>
  </si>
  <si>
    <t>PREGO DE ACO POLIDO COM CABECA 15 X 15 (1 1/4 X 13)</t>
  </si>
  <si>
    <t>1.4</t>
  </si>
  <si>
    <t>PREGO DE ACO POLIDO COM CABECA 19  X 36 (3 1/4  X  9)</t>
  </si>
  <si>
    <t>1.5</t>
  </si>
  <si>
    <t>PREGO DE ACO POLIDO COM CABECA 22 X 48 (4 1/4 X 5)</t>
  </si>
  <si>
    <t>1.6</t>
  </si>
  <si>
    <t>TELHA DE BARRO / CERAMICA, NAO ESMALTADA, TIPO COLONIAL, CANAL, PLAN, PAULISTA, COMPRIMENTO DE *44 A 50* CM, RENDIMENTO DE COBERTURA DE *26* TELHAS/M2</t>
  </si>
  <si>
    <t>UNID.</t>
  </si>
  <si>
    <t>Total (R$)</t>
  </si>
  <si>
    <t>INSTALAÇÕES ELÉTRICAS</t>
  </si>
  <si>
    <t>CABO DE COBRE, FLEXIVEL, CLASSE 4 OU 5, ISOLACAO EM PVC/A, ANTICHAMA BWF-B, 1 CONDUTOR, 450/750 V, SECAO NOMINAL 1,5 MM2</t>
  </si>
  <si>
    <t>METRO</t>
  </si>
  <si>
    <t>CABO DE COBRE, FLEXIVEL, CLASSE 4 OU 5, ISOLACAO EM PVC/A, ANTICHAMA BWF-B, 1 CONDUTOR, 450/750 V, SECAO NOMINAL 2,5 MM2</t>
  </si>
  <si>
    <t>2.3</t>
  </si>
  <si>
    <t>CABO DE COBRE, FLEXIVEL, CLASSE 4 OU 5, ISOLACAO EM PVC/A, ANTICHAMA BWF-B, 1 CONDUTOR, 450/750 V, SECAO NOMINAL 4 MM2</t>
  </si>
  <si>
    <t>2.4</t>
  </si>
  <si>
    <t>FITA ISOLANTE ADESIVA ANTICHAMA, USO ATE 750 V, EM ROLO DE 19 MM X 5 M</t>
  </si>
  <si>
    <t>2.5</t>
  </si>
  <si>
    <t>SUPORTE PARAFUSADO COM PLACA DE ENCAIXE 4" X 2" MÉDIO (1,30 M DO PISO) PARA PONTO ELÉTRICO - FORNECIMENTO E INSTALAÇÃO. AF_12/201</t>
  </si>
  <si>
    <t>2.6</t>
  </si>
  <si>
    <t>INTERRUPTOR SIMPLES (1 MÓDULO), 10A/250V, SEM SUPORTE E SEM PLACA - FORNECIMENTO E INSTALAÇÃO. AF_12/2015</t>
  </si>
  <si>
    <t>2.7</t>
  </si>
  <si>
    <t>2.8</t>
  </si>
  <si>
    <t>TOMADA BAIXA DE EMBUTIR (1 MÓDULO), 2P+T 10 A, SEM SUPORTE E SEM PLACA - FORNECIMENTO E INSTALAÇÃO. AF_12/2015</t>
  </si>
  <si>
    <t>2.9</t>
  </si>
  <si>
    <t>LAMPADA FLUORESCENTE ESPIRAL BRANCA 45 W, BASE E27 (127/220 V)</t>
  </si>
  <si>
    <t>2.10</t>
  </si>
  <si>
    <t>LUMINÁRIA DE TETO PLAFON/PLAFONIER EM PLÁSTICO COM BASE E27, POTÊNCIA MÁXIMA 60 W (NÃO INCLUI LAMPADA)</t>
  </si>
  <si>
    <t>INSTALAÇÕES HIDROSSANITÁRIAS</t>
  </si>
  <si>
    <t>RALO SECO PVC CONICO, 100 X 40 MM,  COM GRELHA REDONDA BRANCA</t>
  </si>
  <si>
    <t>CAIXA SIFONADA PVC, 100 X 100 X 50 MM, COM GRELHA REDONDA BRANCA</t>
  </si>
  <si>
    <t>LOUÇAS, METAIS E ACESSÓRIOS SANITÁRIOS</t>
  </si>
  <si>
    <t>4.1</t>
  </si>
  <si>
    <t>CHUVEIRO PLASTICO BRANCO SIMPLES 5 '' PARA ACOPLAR EM HASTE 1/2 ", AGUA FRIA</t>
  </si>
  <si>
    <t>COMPOSIÇÃO</t>
  </si>
  <si>
    <t>4.2</t>
  </si>
  <si>
    <t>TORNEIRA CROMADA DE PAREDE PARA COZINHA SEM AREJADOR, PADRAO POPULAR, 1/2 " OU 3/4 " (REF 1158</t>
  </si>
  <si>
    <t>4.3</t>
  </si>
  <si>
    <t>SIFAO PLASTICO FLEXIVEL SAIDA VERTICAL PARA COLUNA LAVATORIO, 1 X 1.1/2 "</t>
  </si>
  <si>
    <t>4.4</t>
  </si>
  <si>
    <t>BARRA DE APOIO RETA, EM ACO INOX POLIDO, COMPRIMENTO 80CM, DIAMETRO MINIMO 3 CM</t>
  </si>
  <si>
    <t>PINTURA</t>
  </si>
  <si>
    <t>5.1</t>
  </si>
  <si>
    <t>SELADOR ACRILICO PAREDES INTERNAS/EXTERNAS</t>
  </si>
  <si>
    <t>LATÃO</t>
  </si>
  <si>
    <t>5.2</t>
  </si>
  <si>
    <t>TINTA LATEX PVA PREMIUM, COR BRANCA</t>
  </si>
  <si>
    <t>5.3</t>
  </si>
  <si>
    <t>TINTA LATEX PVA PREMIUM, COR VERDE</t>
  </si>
  <si>
    <t>5.4</t>
  </si>
  <si>
    <t>LIXA EM FOLHA PARA PAREDE OU MADEIRA, NUMERO 120 (COR VERMELHA)</t>
  </si>
  <si>
    <t>ESQUADRIAS E FERRAGENS</t>
  </si>
  <si>
    <t>JANELA DE CORRER EM ALUMINIO, 120 X 120 CM (A X L), 2 FLS, SEM BANDEIRA, ACABAMENTO ACET OU BRILHANTE,  BATENTE/REQUADRO DE 6 A 14 CM, COM VIDRO, SEM GUARNICAO/ALIZAR</t>
  </si>
  <si>
    <t>PREÇO TOTAL (R$)</t>
  </si>
  <si>
    <t>Largura</t>
  </si>
  <si>
    <t>Vãos</t>
  </si>
  <si>
    <t>Parede</t>
  </si>
  <si>
    <t>Leito</t>
  </si>
  <si>
    <t>Cozinha</t>
  </si>
  <si>
    <t>Á. Serviço</t>
  </si>
  <si>
    <t>Wc</t>
  </si>
  <si>
    <t>Consultório</t>
  </si>
  <si>
    <t>Sala de vacina</t>
  </si>
  <si>
    <t>WC PNE</t>
  </si>
  <si>
    <t>Arquivo</t>
  </si>
  <si>
    <t>Famrácia</t>
  </si>
  <si>
    <t>Enfermagem</t>
  </si>
  <si>
    <t>Observação</t>
  </si>
  <si>
    <t>Hall</t>
  </si>
  <si>
    <t>hALL</t>
  </si>
  <si>
    <t>Prefeitura Municipal de Ourém - PA</t>
  </si>
  <si>
    <t xml:space="preserve">SERVIÇO DE APLICAÇÃO E COMPACTAÇÃO DE MASSA ASFÁLTICA (CBUQ) EM OPERAÇÃO PARA TAPA BURACOS, COM FORNECIMENTO DE MATERIAL. </t>
  </si>
  <si>
    <t>OURÉM PA</t>
  </si>
  <si>
    <t>Licenças e taxas da obra (acima de 500m2)</t>
  </si>
  <si>
    <t>CJ</t>
  </si>
  <si>
    <t>SERVIÇOS INICIAIS</t>
  </si>
  <si>
    <t>Pintura de Ligação</t>
  </si>
  <si>
    <t>litros</t>
  </si>
  <si>
    <t>APLICAÇÃO DA MASSA ASFALTICA: TAPA BURACO</t>
  </si>
  <si>
    <t xml:space="preserve">Fornecimento, Aplicação e Compactação de massa asfáltica (CBUQ), para operação de Tapa- Buracos em diversas Ruas do Município (Relação das Ruas em Anexo) </t>
  </si>
  <si>
    <t>VIAS - OURÉM/PA</t>
  </si>
  <si>
    <t>Tv. Cipriano Santos (trecho: Av. Angelo Moretti até R. Rosa Costa)</t>
  </si>
  <si>
    <t>m³</t>
  </si>
  <si>
    <t>Tv. Lauro Soudré (trecho: R. Hemenergildo Alves até R. Rosa Costa)</t>
  </si>
  <si>
    <t>Tv. Lázaro Picanço (trecho: R. 15 de Novembro até Tv. Lauro Soudré)</t>
  </si>
  <si>
    <t>Tv. Tembés (trecho: R. Guamá até Pa 124)</t>
  </si>
  <si>
    <t>Tv. Joaquim Dionizio (trecho: R. Guamá até Pa 124)</t>
  </si>
  <si>
    <t>Tv. 7 de Setembro (trecho: R. Hemenergildo Alves até Pa 124)</t>
  </si>
  <si>
    <t>Tv. Major Fernandes (trecho: Av. Angelo Moretti até R. São Francisco)</t>
  </si>
  <si>
    <t>R. Lameira Bitencourt (trecho: Tv. Joaquim Dionizio até Tv. Major Fernandes)</t>
  </si>
  <si>
    <t>R. Coronel Souza (trecho: Tv. Joaquim Dionizio até Tv Major Fernandes)</t>
  </si>
  <si>
    <t>R. São Francisco (trecho: Tv. 7 de Setembro até Tv. Tomas Rodrigues)</t>
  </si>
  <si>
    <t>R. 24 de Maio (trecho: Tv. 7 de Setembro até Tv. Cafiteua)</t>
  </si>
  <si>
    <t>R. Luiz de Moura (trecho: Tv. Domingos Quadros até Tv. Cipriano Santos)</t>
  </si>
  <si>
    <t>R. Presidente Vargas (trecho: Tv. 7 de Setembro até Tv. Cafiteua)</t>
  </si>
  <si>
    <t>Tv. Cafeteua (trecho: R. São Francisco até a ponte)</t>
  </si>
  <si>
    <t>Av. Padre Angelo Moretii (trecho: Tv. Major Fernandes até Tv. Sete de Setembro)</t>
  </si>
  <si>
    <t>R. Hemenergildo Alves (trecho: Tv. Lauro Sodré até Escola Socorro Rocha)</t>
  </si>
  <si>
    <t>RUA</t>
  </si>
  <si>
    <t>UND</t>
  </si>
  <si>
    <t>QUANTIDADE</t>
  </si>
  <si>
    <t xml:space="preserve">Deivison da Silva Aviz                                                                                                                                                                                                                                                                                                                                                                                                                                                                                                                                                    GL CONSTRUTORA LTDA                                             
Responsável Técnico
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</si>
  <si>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</si>
  <si>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</si>
  <si>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</si>
  <si>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</si>
  <si>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</si>
  <si>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</si>
  <si>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</si>
  <si>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</si>
  <si>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</si>
  <si>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</si>
  <si>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</si>
  <si>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</si>
  <si>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Prefeitura Municipal de Ourém/PA</t>
  </si>
  <si>
    <t>Ourém /PA</t>
  </si>
  <si>
    <t>PREFEITURA MUNICIPAL DE OURÉM /PA</t>
  </si>
  <si>
    <t>CREA 16610D PA</t>
  </si>
  <si>
    <t>PREFEITURA MUNICIPAL DE OURÉM/PA</t>
  </si>
  <si>
    <t>CRONOGRAMA FÍSICO-FINANCEIRO - SERVIÇO DE APLICAÇÃO E COMPACTAÇÃO DE MASSA ASFÁLTICA (CBUQ) EM OPERAÇÃO PARA TAPA BURACOS, COM FORNECIMENTO DE MATERIAL, NO MUNICÍPIO DE OURÉM-PA</t>
  </si>
  <si>
    <t>ÍTEM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</si>
  <si>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</si>
  <si>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</si>
  <si>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</si>
  <si>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</si>
  <si>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</si>
  <si>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</si>
  <si>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</si>
  <si>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</si>
  <si>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</si>
  <si>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</si>
  <si>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</si>
  <si>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</si>
  <si>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 xml:space="preserve">Deivison da Silva Aviz                                                                                                                                                                                                                                                                                                                                                                                                              GL CONSTRUTORA LTDA
Responsável Técnico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</si>
</sst>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_(* #,##0.00_);_(* \(#,##0.00\);_(* &quot;-&quot;??_);_(@_)"/>
    <numFmt numFmtId="167" formatCode="0.00000"/>
    <numFmt numFmtId="168" formatCode="[$-416]d\-mmm\-yy;@"/>
    <numFmt numFmtId="169" formatCode="_([$€]* #,##0.00_);_([$€]* \(#,##0.00\);_([$€]* &quot;-&quot;??_);_(@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7" tint="-0.2499700039625167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ourier New"/>
      <family val="2"/>
    </font>
    <font>
      <sz val="11"/>
      <color theme="1"/>
      <name val="Courier New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ourier New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color theme="1"/>
      <name val="Calibri"/>
      <family val="2"/>
    </font>
    <font>
      <sz val="14"/>
      <color theme="1"/>
      <name val="Century"/>
      <family val="2"/>
    </font>
    <font>
      <b/>
      <sz val="11"/>
      <color theme="1"/>
      <name val="Century"/>
      <family val="2"/>
    </font>
    <font>
      <sz val="11"/>
      <color theme="1"/>
      <name val="Century"/>
      <family val="2"/>
    </font>
    <font>
      <b/>
      <sz val="12"/>
      <color theme="1"/>
      <name val="Century"/>
      <family val="2"/>
    </font>
    <font>
      <sz val="12"/>
      <color theme="1"/>
      <name val="Century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Times New Roman"/>
      <family val="2"/>
    </font>
    <font>
      <b/>
      <sz val="9"/>
      <name val="Segoe UI"/>
      <family val="2"/>
    </font>
    <font>
      <b/>
      <sz val="12"/>
      <color theme="1"/>
      <name val="Courier New"/>
      <family val="3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CCFCC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medium">
        <color theme="1"/>
      </left>
      <right/>
      <top/>
      <bottom style="medium"/>
    </border>
    <border>
      <left/>
      <right style="medium">
        <color theme="1"/>
      </right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>
      <alignment/>
      <protection/>
    </xf>
    <xf numFmtId="169" fontId="1" fillId="0" borderId="0">
      <alignment/>
      <protection/>
    </xf>
  </cellStyleXfs>
  <cellXfs count="539">
    <xf numFmtId="0" fontId="0" fillId="0" borderId="0" xfId="0"/>
    <xf numFmtId="43" fontId="0" fillId="0" borderId="0" xfId="20" applyFont="1"/>
    <xf numFmtId="0" fontId="2" fillId="2" borderId="1" xfId="0" applyFont="1" applyFill="1" applyBorder="1"/>
    <xf numFmtId="43" fontId="2" fillId="2" borderId="1" xfId="2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43" fontId="0" fillId="3" borderId="1" xfId="20" applyFont="1" applyFill="1" applyBorder="1"/>
    <xf numFmtId="0" fontId="0" fillId="0" borderId="1" xfId="0" applyBorder="1"/>
    <xf numFmtId="43" fontId="0" fillId="0" borderId="1" xfId="20" applyFont="1" applyBorder="1"/>
    <xf numFmtId="43" fontId="0" fillId="0" borderId="1" xfId="0" applyNumberFormat="1" applyBorder="1"/>
    <xf numFmtId="43" fontId="0" fillId="4" borderId="1" xfId="20" applyFont="1" applyFill="1" applyBorder="1"/>
    <xf numFmtId="43" fontId="2" fillId="3" borderId="1" xfId="20" applyFont="1" applyFill="1" applyBorder="1"/>
    <xf numFmtId="0" fontId="2" fillId="0" borderId="1" xfId="0" applyFont="1" applyBorder="1"/>
    <xf numFmtId="43" fontId="2" fillId="0" borderId="1" xfId="20" applyFont="1" applyBorder="1"/>
    <xf numFmtId="43" fontId="2" fillId="4" borderId="0" xfId="20" applyFont="1" applyFill="1"/>
    <xf numFmtId="0" fontId="0" fillId="0" borderId="0" xfId="0" applyAlignment="1">
      <alignment horizontal="center" vertical="center"/>
    </xf>
    <xf numFmtId="43" fontId="0" fillId="0" borderId="0" xfId="20" applyFont="1" applyAlignment="1">
      <alignment vertical="center"/>
    </xf>
    <xf numFmtId="164" fontId="0" fillId="0" borderId="0" xfId="21" applyFont="1"/>
    <xf numFmtId="0" fontId="2" fillId="2" borderId="2" xfId="0" applyFont="1" applyFill="1" applyBorder="1" applyAlignment="1">
      <alignment horizontal="center" vertical="center"/>
    </xf>
    <xf numFmtId="43" fontId="2" fillId="2" borderId="2" xfId="20" applyFont="1" applyFill="1" applyBorder="1" applyAlignment="1">
      <alignment horizontal="center" vertical="center"/>
    </xf>
    <xf numFmtId="164" fontId="2" fillId="2" borderId="2" xfId="2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3" fontId="0" fillId="0" borderId="1" xfId="20" applyFont="1" applyBorder="1" applyAlignment="1">
      <alignment vertical="center"/>
    </xf>
    <xf numFmtId="164" fontId="0" fillId="0" borderId="1" xfId="21" applyFont="1" applyBorder="1" applyAlignment="1">
      <alignment vertical="center"/>
    </xf>
    <xf numFmtId="0" fontId="0" fillId="0" borderId="1" xfId="0" applyBorder="1" applyAlignment="1">
      <alignment wrapText="1"/>
    </xf>
    <xf numFmtId="164" fontId="2" fillId="5" borderId="1" xfId="21" applyFont="1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21" applyFont="1" applyBorder="1"/>
    <xf numFmtId="164" fontId="0" fillId="0" borderId="1" xfId="21" applyFont="1" applyBorder="1" applyAlignment="1">
      <alignment horizontal="center" vertical="center"/>
    </xf>
    <xf numFmtId="164" fontId="3" fillId="0" borderId="1" xfId="21" applyFont="1" applyBorder="1" applyAlignment="1">
      <alignment vertical="center"/>
    </xf>
    <xf numFmtId="164" fontId="0" fillId="0" borderId="0" xfId="21" applyFont="1" applyAlignment="1">
      <alignment vertical="center"/>
    </xf>
    <xf numFmtId="44" fontId="0" fillId="0" borderId="0" xfId="25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0" fillId="0" borderId="3" xfId="25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5" xfId="25" applyFon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" fontId="0" fillId="2" borderId="7" xfId="0" applyNumberFormat="1" applyFont="1" applyFill="1" applyBorder="1" applyAlignment="1">
      <alignment horizontal="center" vertical="center" wrapText="1"/>
    </xf>
    <xf numFmtId="16" fontId="0" fillId="2" borderId="8" xfId="0" applyNumberFormat="1" applyFont="1" applyFill="1" applyBorder="1" applyAlignment="1">
      <alignment horizontal="center" vertical="center" wrapText="1"/>
    </xf>
    <xf numFmtId="16" fontId="0" fillId="2" borderId="9" xfId="0" applyNumberFormat="1" applyFont="1" applyFill="1" applyBorder="1" applyAlignment="1">
      <alignment horizontal="center" vertical="center" wrapText="1"/>
    </xf>
    <xf numFmtId="1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44" fontId="0" fillId="7" borderId="11" xfId="25" applyFont="1" applyFill="1" applyBorder="1" applyAlignment="1">
      <alignment horizontal="center" vertical="center"/>
    </xf>
    <xf numFmtId="44" fontId="0" fillId="7" borderId="2" xfId="25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44" fontId="0" fillId="0" borderId="13" xfId="25" applyFont="1" applyFill="1" applyBorder="1" applyAlignment="1">
      <alignment horizontal="center" vertical="center"/>
    </xf>
    <xf numFmtId="44" fontId="0" fillId="3" borderId="1" xfId="25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4" fontId="0" fillId="0" borderId="2" xfId="25" applyFont="1" applyBorder="1" applyAlignment="1">
      <alignment horizontal="center" vertical="center"/>
    </xf>
    <xf numFmtId="44" fontId="0" fillId="3" borderId="2" xfId="25" applyFont="1" applyFill="1" applyBorder="1" applyAlignment="1">
      <alignment horizontal="center" vertical="center"/>
    </xf>
    <xf numFmtId="44" fontId="0" fillId="0" borderId="1" xfId="25" applyFont="1" applyBorder="1" applyAlignment="1">
      <alignment horizontal="center" vertical="center"/>
    </xf>
    <xf numFmtId="44" fontId="0" fillId="4" borderId="1" xfId="25" applyFont="1" applyFill="1" applyBorder="1" applyAlignment="1">
      <alignment horizontal="center" vertical="center"/>
    </xf>
    <xf numFmtId="44" fontId="0" fillId="8" borderId="1" xfId="25" applyFont="1" applyFill="1" applyBorder="1" applyAlignment="1">
      <alignment horizontal="center" vertical="center"/>
    </xf>
    <xf numFmtId="44" fontId="0" fillId="9" borderId="1" xfId="25" applyFont="1" applyFill="1" applyBorder="1" applyAlignment="1">
      <alignment horizontal="center" vertical="center"/>
    </xf>
    <xf numFmtId="44" fontId="0" fillId="10" borderId="1" xfId="25" applyFont="1" applyFill="1" applyBorder="1" applyAlignment="1">
      <alignment horizontal="center" vertical="center"/>
    </xf>
    <xf numFmtId="16" fontId="0" fillId="2" borderId="15" xfId="0" applyNumberFormat="1" applyFont="1" applyFill="1" applyBorder="1" applyAlignment="1">
      <alignment horizontal="center" vertical="center" wrapText="1"/>
    </xf>
    <xf numFmtId="16" fontId="0" fillId="2" borderId="16" xfId="0" applyNumberFormat="1" applyFont="1" applyFill="1" applyBorder="1" applyAlignment="1">
      <alignment horizontal="center" vertical="center" wrapText="1"/>
    </xf>
    <xf numFmtId="16" fontId="0" fillId="2" borderId="17" xfId="0" applyNumberFormat="1" applyFont="1" applyFill="1" applyBorder="1" applyAlignment="1">
      <alignment horizontal="center" vertical="center" wrapText="1"/>
    </xf>
    <xf numFmtId="16" fontId="0" fillId="2" borderId="18" xfId="0" applyNumberFormat="1" applyFont="1" applyFill="1" applyBorder="1" applyAlignment="1">
      <alignment horizontal="center" vertical="center" wrapText="1"/>
    </xf>
    <xf numFmtId="44" fontId="0" fillId="0" borderId="12" xfId="25" applyFont="1" applyBorder="1" applyAlignment="1">
      <alignment horizontal="center" vertical="center"/>
    </xf>
    <xf numFmtId="44" fontId="0" fillId="11" borderId="19" xfId="25" applyFont="1" applyFill="1" applyBorder="1" applyAlignment="1">
      <alignment horizontal="center" vertical="center"/>
    </xf>
    <xf numFmtId="44" fontId="0" fillId="11" borderId="2" xfId="25" applyFont="1" applyFill="1" applyBorder="1" applyAlignment="1">
      <alignment horizontal="center" vertical="center"/>
    </xf>
    <xf numFmtId="44" fontId="0" fillId="0" borderId="14" xfId="25" applyFont="1" applyBorder="1" applyAlignment="1">
      <alignment horizontal="center" vertical="center"/>
    </xf>
    <xf numFmtId="44" fontId="0" fillId="11" borderId="20" xfId="25" applyFont="1" applyFill="1" applyBorder="1" applyAlignment="1">
      <alignment horizontal="center" vertical="center"/>
    </xf>
    <xf numFmtId="44" fontId="0" fillId="11" borderId="1" xfId="25" applyFont="1" applyFill="1" applyBorder="1" applyAlignment="1">
      <alignment horizontal="center" vertical="center"/>
    </xf>
    <xf numFmtId="44" fontId="0" fillId="10" borderId="14" xfId="25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3" fontId="0" fillId="0" borderId="1" xfId="20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10" xfId="2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0" xfId="20" applyFont="1"/>
    <xf numFmtId="0" fontId="2" fillId="12" borderId="1" xfId="0" applyFont="1" applyFill="1" applyBorder="1"/>
    <xf numFmtId="43" fontId="2" fillId="12" borderId="1" xfId="20" applyFont="1" applyFill="1" applyBorder="1" applyAlignment="1">
      <alignment horizontal="center" vertical="center"/>
    </xf>
    <xf numFmtId="43" fontId="2" fillId="12" borderId="2" xfId="20" applyFont="1" applyFill="1" applyBorder="1"/>
    <xf numFmtId="43" fontId="2" fillId="12" borderId="1" xfId="20" applyFont="1" applyFill="1" applyBorder="1"/>
    <xf numFmtId="43" fontId="5" fillId="0" borderId="0" xfId="20" applyFont="1"/>
    <xf numFmtId="43" fontId="0" fillId="4" borderId="0" xfId="20" applyFont="1" applyFill="1"/>
    <xf numFmtId="0" fontId="0" fillId="0" borderId="1" xfId="0" applyFill="1" applyBorder="1"/>
    <xf numFmtId="43" fontId="0" fillId="0" borderId="0" xfId="0" applyNumberFormat="1"/>
    <xf numFmtId="43" fontId="2" fillId="2" borderId="1" xfId="20" applyFont="1" applyFill="1" applyBorder="1"/>
    <xf numFmtId="0" fontId="8" fillId="0" borderId="0" xfId="0" applyFont="1" applyAlignment="1">
      <alignment horizontal="center" vertical="center"/>
    </xf>
    <xf numFmtId="0" fontId="8" fillId="0" borderId="0" xfId="0" applyFont="1"/>
    <xf numFmtId="43" fontId="8" fillId="0" borderId="0" xfId="20" applyFont="1" applyFill="1"/>
    <xf numFmtId="43" fontId="0" fillId="0" borderId="0" xfId="20" applyFont="1" applyFill="1"/>
    <xf numFmtId="0" fontId="8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4" fontId="8" fillId="0" borderId="0" xfId="25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4" fontId="11" fillId="0" borderId="0" xfId="25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4" fontId="11" fillId="0" borderId="0" xfId="25" applyFont="1" applyFill="1" applyBorder="1" applyAlignment="1">
      <alignment horizontal="center" vertical="center"/>
    </xf>
    <xf numFmtId="44" fontId="11" fillId="0" borderId="24" xfId="25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25" applyFont="1" applyFill="1" applyBorder="1" applyAlignment="1">
      <alignment horizontal="center" vertical="center"/>
    </xf>
    <xf numFmtId="169" fontId="12" fillId="0" borderId="0" xfId="27" applyFont="1">
      <alignment/>
      <protection/>
    </xf>
    <xf numFmtId="169" fontId="1" fillId="0" borderId="0" xfId="27">
      <alignment/>
      <protection/>
    </xf>
    <xf numFmtId="0" fontId="14" fillId="2" borderId="13" xfId="26" applyFont="1" applyFill="1" applyBorder="1" applyAlignment="1">
      <alignment horizontal="left" vertical="center"/>
      <protection/>
    </xf>
    <xf numFmtId="0" fontId="14" fillId="2" borderId="9" xfId="26" applyFont="1" applyFill="1" applyBorder="1" applyAlignment="1">
      <alignment horizontal="left" vertical="center"/>
      <protection/>
    </xf>
    <xf numFmtId="0" fontId="13" fillId="0" borderId="0" xfId="26" applyFont="1">
      <alignment/>
      <protection/>
    </xf>
    <xf numFmtId="0" fontId="16" fillId="0" borderId="0" xfId="26" applyFont="1">
      <alignment/>
      <protection/>
    </xf>
    <xf numFmtId="0" fontId="13" fillId="0" borderId="1" xfId="26" applyFont="1" applyBorder="1" applyAlignment="1">
      <alignment horizontal="center" vertical="center" wrapText="1"/>
      <protection/>
    </xf>
    <xf numFmtId="0" fontId="13" fillId="0" borderId="14" xfId="26" applyFont="1" applyBorder="1" applyAlignment="1">
      <alignment horizontal="center" vertical="center" wrapText="1"/>
      <protection/>
    </xf>
    <xf numFmtId="0" fontId="13" fillId="0" borderId="13" xfId="26" applyFont="1" applyBorder="1" applyAlignment="1">
      <alignment horizontal="center"/>
      <protection/>
    </xf>
    <xf numFmtId="0" fontId="13" fillId="0" borderId="1" xfId="26" applyFont="1" applyBorder="1">
      <alignment/>
      <protection/>
    </xf>
    <xf numFmtId="10" fontId="16" fillId="0" borderId="1" xfId="26" applyNumberFormat="1" applyFont="1" applyFill="1" applyBorder="1">
      <alignment/>
      <protection/>
    </xf>
    <xf numFmtId="10" fontId="16" fillId="0" borderId="14" xfId="26" applyNumberFormat="1" applyFont="1" applyFill="1" applyBorder="1">
      <alignment/>
      <protection/>
    </xf>
    <xf numFmtId="0" fontId="13" fillId="0" borderId="0" xfId="26" applyFont="1" applyBorder="1">
      <alignment/>
      <protection/>
    </xf>
    <xf numFmtId="10" fontId="13" fillId="0" borderId="1" xfId="26" applyNumberFormat="1" applyFont="1" applyFill="1" applyBorder="1">
      <alignment/>
      <protection/>
    </xf>
    <xf numFmtId="10" fontId="13" fillId="0" borderId="14" xfId="26" applyNumberFormat="1" applyFont="1" applyFill="1" applyBorder="1">
      <alignment/>
      <protection/>
    </xf>
    <xf numFmtId="0" fontId="14" fillId="5" borderId="13" xfId="26" applyFont="1" applyFill="1" applyBorder="1" applyAlignment="1">
      <alignment horizontal="center"/>
      <protection/>
    </xf>
    <xf numFmtId="0" fontId="14" fillId="5" borderId="1" xfId="26" applyFont="1" applyFill="1" applyBorder="1" applyAlignment="1">
      <alignment horizontal="center"/>
      <protection/>
    </xf>
    <xf numFmtId="10" fontId="14" fillId="5" borderId="1" xfId="26" applyNumberFormat="1" applyFont="1" applyFill="1" applyBorder="1">
      <alignment/>
      <protection/>
    </xf>
    <xf numFmtId="10" fontId="14" fillId="5" borderId="14" xfId="26" applyNumberFormat="1" applyFont="1" applyFill="1" applyBorder="1">
      <alignment/>
      <protection/>
    </xf>
    <xf numFmtId="10" fontId="13" fillId="0" borderId="1" xfId="26" applyNumberFormat="1" applyFont="1" applyFill="1" applyBorder="1" applyAlignment="1">
      <alignment horizontal="center"/>
      <protection/>
    </xf>
    <xf numFmtId="10" fontId="13" fillId="0" borderId="14" xfId="26" applyNumberFormat="1" applyFont="1" applyFill="1" applyBorder="1" applyAlignment="1">
      <alignment horizontal="center"/>
      <protection/>
    </xf>
    <xf numFmtId="0" fontId="14" fillId="5" borderId="25" xfId="26" applyFont="1" applyFill="1" applyBorder="1" applyAlignment="1">
      <alignment horizontal="center"/>
      <protection/>
    </xf>
    <xf numFmtId="0" fontId="14" fillId="5" borderId="26" xfId="26" applyFont="1" applyFill="1" applyBorder="1" applyAlignment="1">
      <alignment horizontal="center"/>
      <protection/>
    </xf>
    <xf numFmtId="10" fontId="16" fillId="5" borderId="26" xfId="26" applyNumberFormat="1" applyFont="1" applyFill="1" applyBorder="1">
      <alignment/>
      <protection/>
    </xf>
    <xf numFmtId="10" fontId="16" fillId="5" borderId="27" xfId="26" applyNumberFormat="1" applyFont="1" applyFill="1" applyBorder="1">
      <alignment/>
      <protection/>
    </xf>
    <xf numFmtId="0" fontId="13" fillId="0" borderId="11" xfId="26" applyFont="1" applyBorder="1" applyAlignment="1">
      <alignment horizontal="center"/>
      <protection/>
    </xf>
    <xf numFmtId="0" fontId="13" fillId="0" borderId="2" xfId="26" applyFont="1" applyBorder="1">
      <alignment/>
      <protection/>
    </xf>
    <xf numFmtId="10" fontId="16" fillId="0" borderId="2" xfId="26" applyNumberFormat="1" applyFont="1" applyFill="1" applyBorder="1">
      <alignment/>
      <protection/>
    </xf>
    <xf numFmtId="10" fontId="16" fillId="0" borderId="12" xfId="26" applyNumberFormat="1" applyFont="1" applyFill="1" applyBorder="1">
      <alignment/>
      <protection/>
    </xf>
    <xf numFmtId="0" fontId="13" fillId="0" borderId="1" xfId="26" applyFont="1" applyBorder="1" applyAlignment="1">
      <alignment wrapText="1"/>
      <protection/>
    </xf>
    <xf numFmtId="10" fontId="16" fillId="0" borderId="1" xfId="26" applyNumberFormat="1" applyFont="1" applyFill="1" applyBorder="1" applyAlignment="1">
      <alignment vertical="center"/>
      <protection/>
    </xf>
    <xf numFmtId="10" fontId="16" fillId="0" borderId="14" xfId="26" applyNumberFormat="1" applyFont="1" applyFill="1" applyBorder="1" applyAlignment="1">
      <alignment vertical="center"/>
      <protection/>
    </xf>
    <xf numFmtId="0" fontId="14" fillId="5" borderId="9" xfId="26" applyFont="1" applyFill="1" applyBorder="1" applyAlignment="1">
      <alignment horizontal="center"/>
      <protection/>
    </xf>
    <xf numFmtId="0" fontId="14" fillId="5" borderId="10" xfId="26" applyFont="1" applyFill="1" applyBorder="1" applyAlignment="1">
      <alignment horizontal="center"/>
      <protection/>
    </xf>
    <xf numFmtId="10" fontId="16" fillId="5" borderId="10" xfId="26" applyNumberFormat="1" applyFont="1" applyFill="1" applyBorder="1">
      <alignment/>
      <protection/>
    </xf>
    <xf numFmtId="10" fontId="16" fillId="5" borderId="17" xfId="26" applyNumberFormat="1" applyFont="1" applyFill="1" applyBorder="1">
      <alignment/>
      <protection/>
    </xf>
    <xf numFmtId="10" fontId="17" fillId="2" borderId="28" xfId="26" applyNumberFormat="1" applyFont="1" applyFill="1" applyBorder="1" applyAlignment="1">
      <alignment vertical="center"/>
      <protection/>
    </xf>
    <xf numFmtId="10" fontId="17" fillId="2" borderId="29" xfId="26" applyNumberFormat="1" applyFont="1" applyFill="1" applyBorder="1" applyAlignment="1">
      <alignment vertical="center"/>
      <protection/>
    </xf>
    <xf numFmtId="169" fontId="13" fillId="0" borderId="0" xfId="27" applyFont="1">
      <alignment/>
      <protection/>
    </xf>
    <xf numFmtId="169" fontId="13" fillId="0" borderId="24" xfId="27" applyFont="1" applyBorder="1">
      <alignment/>
      <protection/>
    </xf>
    <xf numFmtId="0" fontId="9" fillId="0" borderId="0" xfId="0" applyFont="1" applyAlignment="1">
      <alignment vertical="top" wrapText="1"/>
    </xf>
    <xf numFmtId="169" fontId="1" fillId="0" borderId="0" xfId="27" applyFont="1">
      <alignment/>
      <protection/>
    </xf>
    <xf numFmtId="169" fontId="1" fillId="0" borderId="0" xfId="27" applyAlignment="1">
      <alignment vertical="center"/>
      <protection/>
    </xf>
    <xf numFmtId="0" fontId="20" fillId="13" borderId="1" xfId="27" applyNumberFormat="1" applyFont="1" applyFill="1" applyBorder="1" applyAlignment="1">
      <alignment vertical="center"/>
      <protection/>
    </xf>
    <xf numFmtId="169" fontId="15" fillId="0" borderId="0" xfId="27" applyFont="1" applyBorder="1" applyAlignment="1">
      <alignment vertical="center"/>
      <protection/>
    </xf>
    <xf numFmtId="169" fontId="19" fillId="0" borderId="1" xfId="27" applyFont="1" applyBorder="1" applyAlignment="1">
      <alignment horizontal="center" vertical="center"/>
      <protection/>
    </xf>
    <xf numFmtId="3" fontId="11" fillId="0" borderId="1" xfId="24" applyNumberFormat="1" applyFont="1" applyBorder="1" applyAlignment="1">
      <alignment horizontal="center" vertical="center"/>
    </xf>
    <xf numFmtId="169" fontId="22" fillId="0" borderId="0" xfId="27" applyFont="1" applyBorder="1" applyAlignment="1">
      <alignment vertical="center"/>
      <protection/>
    </xf>
    <xf numFmtId="169" fontId="23" fillId="0" borderId="0" xfId="27" applyFont="1" applyBorder="1" applyAlignment="1">
      <alignment vertical="center"/>
      <protection/>
    </xf>
    <xf numFmtId="169" fontId="15" fillId="0" borderId="0" xfId="27" applyFont="1" applyAlignment="1">
      <alignment vertical="center"/>
      <protection/>
    </xf>
    <xf numFmtId="10" fontId="19" fillId="0" borderId="0" xfId="27" applyNumberFormat="1" applyFont="1" applyBorder="1" applyAlignment="1">
      <alignment horizontal="center" vertical="center"/>
      <protection/>
    </xf>
    <xf numFmtId="169" fontId="18" fillId="0" borderId="0" xfId="27" applyFont="1" applyAlignment="1">
      <alignment vertical="center"/>
      <protection/>
    </xf>
    <xf numFmtId="0" fontId="0" fillId="0" borderId="0" xfId="0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7" fontId="0" fillId="0" borderId="0" xfId="0" applyNumberFormat="1"/>
    <xf numFmtId="164" fontId="0" fillId="0" borderId="0" xfId="21" applyFont="1" applyAlignment="1">
      <alignment horizontal="center" vertical="center"/>
    </xf>
    <xf numFmtId="0" fontId="2" fillId="0" borderId="0" xfId="0" applyFont="1" applyAlignment="1">
      <alignment horizontal="right"/>
    </xf>
    <xf numFmtId="164" fontId="2" fillId="0" borderId="0" xfId="21" applyFont="1"/>
    <xf numFmtId="164" fontId="0" fillId="3" borderId="2" xfId="21" applyFont="1" applyFill="1" applyBorder="1" applyAlignment="1">
      <alignment horizontal="center" vertical="center"/>
    </xf>
    <xf numFmtId="164" fontId="0" fillId="3" borderId="12" xfId="2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left" vertical="center"/>
    </xf>
    <xf numFmtId="164" fontId="29" fillId="2" borderId="8" xfId="2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43" fontId="29" fillId="5" borderId="1" xfId="20" applyFont="1" applyFill="1" applyBorder="1" applyAlignment="1">
      <alignment horizontal="left" vertical="center"/>
    </xf>
    <xf numFmtId="164" fontId="29" fillId="5" borderId="1" xfId="21" applyFont="1" applyFill="1" applyBorder="1" applyAlignment="1">
      <alignment horizontal="left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43" fontId="30" fillId="3" borderId="2" xfId="20" applyFont="1" applyFill="1" applyBorder="1" applyAlignment="1">
      <alignment horizontal="center" vertical="center"/>
    </xf>
    <xf numFmtId="164" fontId="30" fillId="3" borderId="2" xfId="21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0" fillId="0" borderId="22" xfId="0" applyFont="1" applyBorder="1"/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64" fontId="30" fillId="0" borderId="0" xfId="21" applyFont="1" applyBorder="1"/>
    <xf numFmtId="0" fontId="29" fillId="2" borderId="15" xfId="0" applyFont="1" applyFill="1" applyBorder="1" applyAlignment="1">
      <alignment horizontal="center" vertical="center"/>
    </xf>
    <xf numFmtId="43" fontId="29" fillId="5" borderId="14" xfId="20" applyFont="1" applyFill="1" applyBorder="1" applyAlignment="1">
      <alignment horizontal="left" vertical="center"/>
    </xf>
    <xf numFmtId="44" fontId="29" fillId="3" borderId="12" xfId="0" applyNumberFormat="1" applyFont="1" applyFill="1" applyBorder="1" applyAlignment="1">
      <alignment horizontal="center" vertical="center"/>
    </xf>
    <xf numFmtId="164" fontId="30" fillId="3" borderId="12" xfId="0" applyNumberFormat="1" applyFont="1" applyFill="1" applyBorder="1" applyAlignment="1">
      <alignment horizontal="center" vertical="center"/>
    </xf>
    <xf numFmtId="164" fontId="29" fillId="3" borderId="12" xfId="0" applyNumberFormat="1" applyFont="1" applyFill="1" applyBorder="1" applyAlignment="1">
      <alignment horizontal="center" vertical="center"/>
    </xf>
    <xf numFmtId="0" fontId="30" fillId="0" borderId="3" xfId="0" applyFont="1" applyBorder="1"/>
    <xf numFmtId="164" fontId="29" fillId="2" borderId="29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25" fillId="2" borderId="30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10" fontId="33" fillId="0" borderId="32" xfId="22" applyNumberFormat="1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10" fontId="33" fillId="0" borderId="34" xfId="22" applyNumberFormat="1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10" fontId="33" fillId="0" borderId="36" xfId="22" applyNumberFormat="1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left"/>
    </xf>
    <xf numFmtId="10" fontId="25" fillId="5" borderId="37" xfId="0" applyNumberFormat="1" applyFont="1" applyFill="1" applyBorder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left"/>
    </xf>
    <xf numFmtId="0" fontId="34" fillId="0" borderId="24" xfId="0" applyFont="1" applyBorder="1" applyAlignment="1">
      <alignment horizontal="left"/>
    </xf>
    <xf numFmtId="0" fontId="34" fillId="0" borderId="24" xfId="0" applyFont="1" applyBorder="1"/>
    <xf numFmtId="0" fontId="12" fillId="14" borderId="1" xfId="0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horizontal="center" wrapText="1"/>
      <protection/>
    </xf>
    <xf numFmtId="39" fontId="12" fillId="0" borderId="1" xfId="20" applyNumberFormat="1" applyFont="1" applyFill="1" applyBorder="1" applyAlignment="1" applyProtection="1">
      <alignment horizontal="right" wrapText="1"/>
      <protection/>
    </xf>
    <xf numFmtId="8" fontId="12" fillId="3" borderId="1" xfId="21" applyNumberFormat="1" applyFont="1" applyFill="1" applyBorder="1" applyAlignment="1" applyProtection="1">
      <alignment horizontal="right"/>
      <protection/>
    </xf>
    <xf numFmtId="10" fontId="2" fillId="0" borderId="0" xfId="0" applyNumberFormat="1" applyFont="1" applyAlignment="1">
      <alignment horizontal="center" vertical="center"/>
    </xf>
    <xf numFmtId="43" fontId="29" fillId="5" borderId="1" xfId="20" applyFont="1" applyFill="1" applyBorder="1" applyAlignment="1">
      <alignment horizontal="left" vertical="center"/>
    </xf>
    <xf numFmtId="0" fontId="12" fillId="14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 vertical="center"/>
    </xf>
    <xf numFmtId="10" fontId="16" fillId="0" borderId="1" xfId="23" applyNumberFormat="1" applyFont="1" applyFill="1" applyBorder="1" applyAlignment="1" applyProtection="1">
      <alignment horizontal="center"/>
      <protection/>
    </xf>
    <xf numFmtId="10" fontId="0" fillId="0" borderId="1" xfId="0" applyNumberFormat="1" applyBorder="1" applyAlignment="1">
      <alignment horizontal="center"/>
    </xf>
    <xf numFmtId="10" fontId="16" fillId="0" borderId="1" xfId="23" applyNumberFormat="1" applyFont="1" applyFill="1" applyBorder="1" applyAlignment="1" applyProtection="1">
      <alignment horizontal="center" vertical="center"/>
      <protection/>
    </xf>
    <xf numFmtId="10" fontId="16" fillId="3" borderId="1" xfId="23" applyNumberFormat="1" applyFont="1" applyFill="1" applyBorder="1" applyAlignment="1" applyProtection="1">
      <alignment horizontal="center" vertical="center"/>
      <protection/>
    </xf>
    <xf numFmtId="10" fontId="1" fillId="0" borderId="38" xfId="23" applyNumberFormat="1" applyFont="1" applyFill="1" applyBorder="1" applyAlignment="1" applyProtection="1">
      <alignment horizontal="center" vertical="center"/>
      <protection/>
    </xf>
    <xf numFmtId="10" fontId="16" fillId="0" borderId="39" xfId="23" applyNumberFormat="1" applyFont="1" applyFill="1" applyBorder="1" applyAlignment="1" applyProtection="1">
      <alignment horizontal="center" vertical="center"/>
      <protection/>
    </xf>
    <xf numFmtId="0" fontId="12" fillId="3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horizontal="left" wrapText="1"/>
    </xf>
    <xf numFmtId="0" fontId="12" fillId="3" borderId="1" xfId="0" applyNumberFormat="1" applyFont="1" applyFill="1" applyBorder="1" applyAlignment="1">
      <alignment horizontal="left" vertical="top"/>
    </xf>
    <xf numFmtId="0" fontId="12" fillId="3" borderId="1" xfId="0" applyNumberFormat="1" applyFont="1" applyFill="1" applyBorder="1" applyAlignment="1">
      <alignment horizontal="left" vertical="center" wrapText="1"/>
    </xf>
    <xf numFmtId="43" fontId="0" fillId="0" borderId="0" xfId="20" applyFont="1" applyBorder="1"/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14" borderId="10" xfId="0" applyFont="1" applyFill="1" applyBorder="1" applyAlignment="1">
      <alignment wrapText="1"/>
    </xf>
    <xf numFmtId="0" fontId="12" fillId="0" borderId="10" xfId="0" applyFont="1" applyFill="1" applyBorder="1" applyAlignment="1" applyProtection="1">
      <alignment horizontal="center" wrapText="1"/>
      <protection/>
    </xf>
    <xf numFmtId="39" fontId="12" fillId="0" borderId="14" xfId="20" applyNumberFormat="1" applyFont="1" applyFill="1" applyBorder="1" applyAlignment="1" applyProtection="1">
      <alignment horizontal="center" vertical="center" wrapText="1"/>
      <protection/>
    </xf>
    <xf numFmtId="39" fontId="12" fillId="0" borderId="17" xfId="20" applyNumberFormat="1" applyFont="1" applyFill="1" applyBorder="1" applyAlignment="1" applyProtection="1">
      <alignment horizontal="center" wrapText="1"/>
      <protection/>
    </xf>
    <xf numFmtId="0" fontId="29" fillId="5" borderId="13" xfId="0" applyFont="1" applyFill="1" applyBorder="1" applyAlignment="1">
      <alignment horizontal="center" vertical="center"/>
    </xf>
    <xf numFmtId="8" fontId="12" fillId="3" borderId="14" xfId="0" applyNumberFormat="1" applyFont="1" applyFill="1" applyBorder="1" applyAlignment="1" applyProtection="1">
      <alignment horizontal="right" wrapText="1"/>
      <protection/>
    </xf>
    <xf numFmtId="0" fontId="30" fillId="3" borderId="13" xfId="0" applyFont="1" applyFill="1" applyBorder="1" applyAlignment="1">
      <alignment horizontal="center" vertical="center"/>
    </xf>
    <xf numFmtId="164" fontId="29" fillId="3" borderId="40" xfId="0" applyNumberFormat="1" applyFont="1" applyFill="1" applyBorder="1" applyAlignment="1">
      <alignment horizontal="center" vertical="center"/>
    </xf>
    <xf numFmtId="10" fontId="19" fillId="0" borderId="41" xfId="23" applyNumberFormat="1" applyFont="1" applyFill="1" applyBorder="1" applyAlignment="1" applyProtection="1">
      <alignment horizontal="center" vertical="center"/>
      <protection/>
    </xf>
    <xf numFmtId="10" fontId="19" fillId="0" borderId="41" xfId="27" applyNumberFormat="1" applyFont="1" applyFill="1" applyBorder="1" applyAlignment="1">
      <alignment horizontal="center" vertical="center"/>
      <protection/>
    </xf>
    <xf numFmtId="43" fontId="37" fillId="15" borderId="41" xfId="20" applyFont="1" applyFill="1" applyBorder="1"/>
    <xf numFmtId="0" fontId="0" fillId="0" borderId="25" xfId="0" applyBorder="1" applyAlignment="1">
      <alignment horizontal="center"/>
    </xf>
    <xf numFmtId="0" fontId="0" fillId="0" borderId="26" xfId="0" applyBorder="1"/>
    <xf numFmtId="9" fontId="0" fillId="0" borderId="26" xfId="22" applyFont="1" applyBorder="1" applyAlignment="1">
      <alignment horizontal="center" vertical="center"/>
    </xf>
    <xf numFmtId="9" fontId="0" fillId="0" borderId="26" xfId="22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49" fontId="0" fillId="0" borderId="43" xfId="0" applyNumberFormat="1" applyBorder="1"/>
    <xf numFmtId="8" fontId="0" fillId="0" borderId="43" xfId="0" applyNumberFormat="1" applyBorder="1"/>
    <xf numFmtId="8" fontId="0" fillId="16" borderId="4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" xfId="0" applyBorder="1"/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9" fontId="0" fillId="0" borderId="27" xfId="22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9" fontId="0" fillId="0" borderId="27" xfId="22" applyFont="1" applyBorder="1" applyAlignment="1">
      <alignment horizontal="center" vertical="center"/>
    </xf>
    <xf numFmtId="8" fontId="0" fillId="16" borderId="44" xfId="0" applyNumberFormat="1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/>
    <xf numFmtId="165" fontId="0" fillId="0" borderId="46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8" fontId="39" fillId="0" borderId="28" xfId="0" applyNumberFormat="1" applyFont="1" applyBorder="1"/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49" fontId="0" fillId="0" borderId="48" xfId="0" applyNumberFormat="1" applyBorder="1"/>
    <xf numFmtId="44" fontId="0" fillId="0" borderId="48" xfId="0" applyNumberFormat="1" applyBorder="1"/>
    <xf numFmtId="8" fontId="0" fillId="16" borderId="48" xfId="0" applyNumberFormat="1" applyFill="1" applyBorder="1" applyAlignment="1">
      <alignment horizontal="center" vertical="center"/>
    </xf>
    <xf numFmtId="8" fontId="0" fillId="0" borderId="48" xfId="0" applyNumberFormat="1" applyFill="1" applyBorder="1" applyAlignment="1">
      <alignment horizontal="center" vertical="center"/>
    </xf>
    <xf numFmtId="8" fontId="0" fillId="0" borderId="49" xfId="0" applyNumberForma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/>
    </xf>
    <xf numFmtId="0" fontId="39" fillId="0" borderId="48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25" fillId="5" borderId="50" xfId="0" applyNumberFormat="1" applyFont="1" applyFill="1" applyBorder="1" applyAlignment="1">
      <alignment horizontal="center" vertical="center"/>
    </xf>
    <xf numFmtId="0" fontId="25" fillId="5" borderId="5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32" fillId="2" borderId="52" xfId="0" applyFont="1" applyFill="1" applyBorder="1" applyAlignment="1">
      <alignment horizontal="center" vertical="center" wrapText="1"/>
    </xf>
    <xf numFmtId="0" fontId="32" fillId="2" borderId="53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164" fontId="32" fillId="0" borderId="52" xfId="21" applyFont="1" applyBorder="1" applyAlignment="1">
      <alignment horizontal="center" vertical="center"/>
    </xf>
    <xf numFmtId="164" fontId="32" fillId="0" borderId="21" xfId="21" applyFont="1" applyBorder="1" applyAlignment="1">
      <alignment horizontal="center" vertical="center"/>
    </xf>
    <xf numFmtId="164" fontId="32" fillId="0" borderId="54" xfId="21" applyFont="1" applyBorder="1" applyAlignment="1">
      <alignment horizontal="center" vertical="center"/>
    </xf>
    <xf numFmtId="164" fontId="32" fillId="0" borderId="55" xfId="21" applyFont="1" applyBorder="1" applyAlignment="1">
      <alignment horizontal="center" vertical="center"/>
    </xf>
    <xf numFmtId="43" fontId="33" fillId="0" borderId="56" xfId="20" applyFont="1" applyFill="1" applyBorder="1" applyAlignment="1">
      <alignment horizontal="left" vertical="center"/>
    </xf>
    <xf numFmtId="164" fontId="33" fillId="0" borderId="56" xfId="21" applyFont="1" applyFill="1" applyBorder="1" applyAlignment="1">
      <alignment horizontal="center" vertical="center"/>
    </xf>
    <xf numFmtId="43" fontId="33" fillId="0" borderId="57" xfId="20" applyFont="1" applyFill="1" applyBorder="1" applyAlignment="1">
      <alignment horizontal="left" vertical="center"/>
    </xf>
    <xf numFmtId="164" fontId="33" fillId="0" borderId="57" xfId="21" applyFont="1" applyFill="1" applyBorder="1" applyAlignment="1">
      <alignment horizontal="center" vertical="center"/>
    </xf>
    <xf numFmtId="43" fontId="33" fillId="0" borderId="58" xfId="20" applyFont="1" applyFill="1" applyBorder="1" applyAlignment="1">
      <alignment horizontal="left" vertical="center"/>
    </xf>
    <xf numFmtId="164" fontId="33" fillId="0" borderId="58" xfId="21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0" fontId="32" fillId="2" borderId="29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21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left" vertical="center"/>
    </xf>
    <xf numFmtId="0" fontId="25" fillId="2" borderId="62" xfId="0" applyFont="1" applyFill="1" applyBorder="1" applyAlignment="1">
      <alignment horizontal="left" vertical="center"/>
    </xf>
    <xf numFmtId="0" fontId="25" fillId="2" borderId="63" xfId="0" applyFont="1" applyFill="1" applyBorder="1" applyAlignment="1">
      <alignment horizontal="left" vertical="center"/>
    </xf>
    <xf numFmtId="0" fontId="25" fillId="2" borderId="61" xfId="0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center" vertical="center"/>
    </xf>
    <xf numFmtId="0" fontId="25" fillId="2" borderId="6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5" fillId="2" borderId="13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33" fillId="0" borderId="66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0" fontId="25" fillId="2" borderId="10" xfId="0" applyFont="1" applyFill="1" applyBorder="1" applyAlignment="1">
      <alignment vertical="center"/>
    </xf>
    <xf numFmtId="10" fontId="33" fillId="0" borderId="67" xfId="0" applyNumberFormat="1" applyFont="1" applyBorder="1" applyAlignment="1">
      <alignment horizontal="left" vertical="center"/>
    </xf>
    <xf numFmtId="10" fontId="33" fillId="0" borderId="68" xfId="0" applyNumberFormat="1" applyFont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9" fillId="3" borderId="69" xfId="0" applyFont="1" applyFill="1" applyBorder="1" applyAlignment="1">
      <alignment horizontal="right" vertical="center"/>
    </xf>
    <xf numFmtId="0" fontId="29" fillId="3" borderId="70" xfId="0" applyFont="1" applyFill="1" applyBorder="1" applyAlignment="1">
      <alignment horizontal="right" vertical="center"/>
    </xf>
    <xf numFmtId="0" fontId="29" fillId="3" borderId="20" xfId="0" applyFont="1" applyFill="1" applyBorder="1" applyAlignment="1">
      <alignment horizontal="right" vertical="center"/>
    </xf>
    <xf numFmtId="0" fontId="29" fillId="3" borderId="71" xfId="0" applyFont="1" applyFill="1" applyBorder="1" applyAlignment="1">
      <alignment horizontal="right" vertical="center"/>
    </xf>
    <xf numFmtId="0" fontId="29" fillId="3" borderId="72" xfId="0" applyFont="1" applyFill="1" applyBorder="1" applyAlignment="1">
      <alignment horizontal="right" vertical="center"/>
    </xf>
    <xf numFmtId="0" fontId="29" fillId="3" borderId="18" xfId="0" applyFont="1" applyFill="1" applyBorder="1" applyAlignment="1">
      <alignment horizontal="right" vertical="center"/>
    </xf>
    <xf numFmtId="0" fontId="29" fillId="2" borderId="73" xfId="0" applyFont="1" applyFill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72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10" fontId="28" fillId="0" borderId="10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6" fillId="0" borderId="8" xfId="0" applyFont="1" applyBorder="1" applyAlignment="1">
      <alignment horizontal="center" vertical="center"/>
    </xf>
    <xf numFmtId="0" fontId="27" fillId="2" borderId="75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165" fontId="27" fillId="0" borderId="8" xfId="21" applyNumberFormat="1" applyFont="1" applyBorder="1" applyAlignment="1">
      <alignment horizontal="center" vertical="center"/>
    </xf>
    <xf numFmtId="165" fontId="27" fillId="0" borderId="15" xfId="21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7" fillId="2" borderId="66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5" fillId="2" borderId="9" xfId="0" applyFont="1" applyFill="1" applyBorder="1" applyAlignment="1">
      <alignment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65" fontId="38" fillId="0" borderId="1" xfId="21" applyNumberFormat="1" applyFont="1" applyBorder="1" applyAlignment="1">
      <alignment horizontal="left" vertical="center"/>
    </xf>
    <xf numFmtId="165" fontId="38" fillId="0" borderId="14" xfId="21" applyNumberFormat="1" applyFont="1" applyBorder="1" applyAlignment="1">
      <alignment horizontal="left" vertical="center"/>
    </xf>
    <xf numFmtId="9" fontId="3" fillId="0" borderId="10" xfId="22" applyFont="1" applyBorder="1" applyAlignment="1">
      <alignment horizontal="left" vertical="center"/>
    </xf>
    <xf numFmtId="9" fontId="3" fillId="0" borderId="17" xfId="22" applyFont="1" applyBorder="1" applyAlignment="1">
      <alignment horizontal="left" vertical="center"/>
    </xf>
    <xf numFmtId="0" fontId="25" fillId="2" borderId="13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0" fontId="37" fillId="5" borderId="47" xfId="0" applyFont="1" applyFill="1" applyBorder="1" applyAlignment="1">
      <alignment horizontal="center" vertical="center"/>
    </xf>
    <xf numFmtId="0" fontId="37" fillId="5" borderId="11" xfId="0" applyFont="1" applyFill="1" applyBorder="1" applyAlignment="1">
      <alignment horizontal="center" vertical="center"/>
    </xf>
    <xf numFmtId="0" fontId="37" fillId="5" borderId="48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/>
    </xf>
    <xf numFmtId="0" fontId="37" fillId="5" borderId="49" xfId="0" applyFont="1" applyFill="1" applyBorder="1" applyAlignment="1">
      <alignment horizontal="center" vertical="center"/>
    </xf>
    <xf numFmtId="0" fontId="37" fillId="5" borderId="12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/>
    </xf>
    <xf numFmtId="0" fontId="37" fillId="5" borderId="5" xfId="0" applyFont="1" applyFill="1" applyBorder="1" applyAlignment="1">
      <alignment horizontal="center" vertical="center"/>
    </xf>
    <xf numFmtId="0" fontId="37" fillId="5" borderId="21" xfId="0" applyFont="1" applyFill="1" applyBorder="1" applyAlignment="1">
      <alignment horizontal="center" vertical="center"/>
    </xf>
    <xf numFmtId="0" fontId="37" fillId="5" borderId="74" xfId="0" applyFont="1" applyFill="1" applyBorder="1" applyAlignment="1">
      <alignment horizontal="center" vertical="center"/>
    </xf>
    <xf numFmtId="0" fontId="37" fillId="5" borderId="6" xfId="0" applyFont="1" applyFill="1" applyBorder="1" applyAlignment="1">
      <alignment horizontal="center" vertical="center"/>
    </xf>
    <xf numFmtId="0" fontId="37" fillId="5" borderId="23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7" fillId="0" borderId="73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169" fontId="24" fillId="0" borderId="0" xfId="27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top" wrapText="1"/>
    </xf>
    <xf numFmtId="169" fontId="23" fillId="0" borderId="0" xfId="27" applyFont="1" applyBorder="1" applyAlignment="1">
      <alignment vertical="center" wrapText="1"/>
      <protection/>
    </xf>
    <xf numFmtId="0" fontId="23" fillId="0" borderId="0" xfId="27" applyNumberFormat="1" applyFont="1" applyBorder="1" applyAlignment="1">
      <alignment vertical="center" wrapText="1"/>
      <protection/>
    </xf>
    <xf numFmtId="169" fontId="23" fillId="0" borderId="0" xfId="27" applyFont="1" applyBorder="1" applyAlignment="1">
      <alignment horizontal="left" vertical="center" wrapText="1"/>
      <protection/>
    </xf>
    <xf numFmtId="169" fontId="15" fillId="0" borderId="0" xfId="27" applyFont="1" applyBorder="1" applyAlignment="1">
      <alignment horizontal="center" vertical="center"/>
      <protection/>
    </xf>
    <xf numFmtId="169" fontId="15" fillId="0" borderId="1" xfId="27" applyFont="1" applyBorder="1" applyAlignment="1">
      <alignment horizontal="right" vertical="center"/>
      <protection/>
    </xf>
    <xf numFmtId="169" fontId="15" fillId="0" borderId="66" xfId="27" applyFont="1" applyBorder="1" applyAlignment="1">
      <alignment horizontal="right" vertical="center"/>
      <protection/>
    </xf>
    <xf numFmtId="169" fontId="14" fillId="0" borderId="1" xfId="27" applyFont="1" applyBorder="1" applyAlignment="1">
      <alignment horizontal="center" vertical="center"/>
      <protection/>
    </xf>
    <xf numFmtId="169" fontId="14" fillId="0" borderId="43" xfId="27" applyFont="1" applyBorder="1" applyAlignment="1">
      <alignment horizontal="center" vertical="center"/>
      <protection/>
    </xf>
    <xf numFmtId="169" fontId="15" fillId="0" borderId="1" xfId="27" applyFont="1" applyBorder="1" applyAlignment="1">
      <alignment horizontal="center" vertical="center"/>
      <protection/>
    </xf>
    <xf numFmtId="169" fontId="15" fillId="0" borderId="66" xfId="27" applyFont="1" applyBorder="1" applyAlignment="1">
      <alignment horizontal="center" vertical="center"/>
      <protection/>
    </xf>
    <xf numFmtId="169" fontId="19" fillId="0" borderId="1" xfId="27" applyFont="1" applyBorder="1" applyAlignment="1">
      <alignment horizontal="left" vertical="center"/>
      <protection/>
    </xf>
    <xf numFmtId="169" fontId="15" fillId="0" borderId="1" xfId="27" applyFont="1" applyFill="1" applyBorder="1" applyAlignment="1">
      <alignment horizontal="left" vertical="center"/>
      <protection/>
    </xf>
    <xf numFmtId="169" fontId="15" fillId="0" borderId="1" xfId="27" applyFont="1" applyBorder="1" applyAlignment="1">
      <alignment horizontal="left" vertical="center"/>
      <protection/>
    </xf>
    <xf numFmtId="0" fontId="20" fillId="2" borderId="1" xfId="27" applyNumberFormat="1" applyFont="1" applyFill="1" applyBorder="1" applyAlignment="1">
      <alignment horizontal="left" vertical="center" wrapText="1"/>
      <protection/>
    </xf>
    <xf numFmtId="0" fontId="21" fillId="0" borderId="1" xfId="27" applyNumberFormat="1" applyFont="1" applyBorder="1" applyAlignment="1">
      <alignment horizontal="left" vertical="center"/>
      <protection/>
    </xf>
    <xf numFmtId="169" fontId="19" fillId="0" borderId="77" xfId="27" applyFont="1" applyBorder="1" applyAlignment="1">
      <alignment horizontal="left" vertical="center"/>
      <protection/>
    </xf>
    <xf numFmtId="169" fontId="19" fillId="0" borderId="78" xfId="27" applyFont="1" applyBorder="1" applyAlignment="1">
      <alignment horizontal="left" vertical="center"/>
      <protection/>
    </xf>
    <xf numFmtId="169" fontId="19" fillId="0" borderId="79" xfId="27" applyFont="1" applyBorder="1" applyAlignment="1">
      <alignment horizontal="left" vertical="center"/>
      <protection/>
    </xf>
    <xf numFmtId="0" fontId="20" fillId="13" borderId="1" xfId="27" applyNumberFormat="1" applyFont="1" applyFill="1" applyBorder="1" applyAlignment="1">
      <alignment horizontal="left" vertical="center"/>
      <protection/>
    </xf>
    <xf numFmtId="0" fontId="21" fillId="0" borderId="1" xfId="27" applyNumberFormat="1" applyFont="1" applyBorder="1" applyAlignment="1">
      <alignment horizontal="left" vertical="center" wrapText="1"/>
      <protection/>
    </xf>
    <xf numFmtId="0" fontId="20" fillId="13" borderId="1" xfId="27" applyNumberFormat="1" applyFont="1" applyFill="1" applyBorder="1" applyAlignment="1">
      <alignment horizontal="left" vertical="center" wrapText="1"/>
      <protection/>
    </xf>
    <xf numFmtId="0" fontId="20" fillId="2" borderId="1" xfId="27" applyNumberFormat="1" applyFont="1" applyFill="1" applyBorder="1" applyAlignment="1">
      <alignment horizontal="left" vertical="center"/>
      <protection/>
    </xf>
    <xf numFmtId="10" fontId="21" fillId="0" borderId="1" xfId="27" applyNumberFormat="1" applyFont="1" applyBorder="1" applyAlignment="1">
      <alignment horizontal="left" vertical="center"/>
      <protection/>
    </xf>
    <xf numFmtId="169" fontId="18" fillId="0" borderId="24" xfId="27" applyFont="1" applyBorder="1" applyAlignment="1">
      <alignment horizontal="center" vertical="center"/>
      <protection/>
    </xf>
    <xf numFmtId="169" fontId="19" fillId="17" borderId="1" xfId="27" applyFont="1" applyFill="1" applyBorder="1" applyAlignment="1">
      <alignment horizontal="center" vertical="center"/>
      <protection/>
    </xf>
    <xf numFmtId="0" fontId="14" fillId="2" borderId="73" xfId="26" applyFont="1" applyFill="1" applyBorder="1" applyAlignment="1">
      <alignment horizontal="center" vertical="center"/>
      <protection/>
    </xf>
    <xf numFmtId="0" fontId="14" fillId="2" borderId="63" xfId="26" applyFont="1" applyFill="1" applyBorder="1" applyAlignment="1">
      <alignment horizontal="center" vertical="center"/>
      <protection/>
    </xf>
    <xf numFmtId="0" fontId="13" fillId="0" borderId="11" xfId="26" applyFont="1" applyBorder="1" applyAlignment="1">
      <alignment horizontal="center" vertical="center"/>
      <protection/>
    </xf>
    <xf numFmtId="0" fontId="13" fillId="0" borderId="13" xfId="26" applyFont="1" applyBorder="1" applyAlignment="1">
      <alignment horizontal="center" vertical="center"/>
      <protection/>
    </xf>
    <xf numFmtId="0" fontId="13" fillId="0" borderId="2" xfId="26" applyFont="1" applyBorder="1" applyAlignment="1">
      <alignment horizontal="center" vertical="center"/>
      <protection/>
    </xf>
    <xf numFmtId="0" fontId="13" fillId="0" borderId="1" xfId="26" applyFont="1" applyBorder="1" applyAlignment="1">
      <alignment horizontal="center" vertical="center"/>
      <protection/>
    </xf>
    <xf numFmtId="0" fontId="14" fillId="2" borderId="13" xfId="26" applyFont="1" applyFill="1" applyBorder="1" applyAlignment="1">
      <alignment horizontal="center"/>
      <protection/>
    </xf>
    <xf numFmtId="0" fontId="14" fillId="2" borderId="1" xfId="26" applyFont="1" applyFill="1" applyBorder="1" applyAlignment="1">
      <alignment horizontal="center"/>
      <protection/>
    </xf>
    <xf numFmtId="0" fontId="14" fillId="2" borderId="14" xfId="26" applyFont="1" applyFill="1" applyBorder="1" applyAlignment="1">
      <alignment horizontal="center"/>
      <protection/>
    </xf>
    <xf numFmtId="0" fontId="14" fillId="2" borderId="69" xfId="26" applyFont="1" applyFill="1" applyBorder="1" applyAlignment="1">
      <alignment horizontal="center"/>
      <protection/>
    </xf>
    <xf numFmtId="0" fontId="14" fillId="2" borderId="70" xfId="26" applyFont="1" applyFill="1" applyBorder="1" applyAlignment="1">
      <alignment horizontal="center"/>
      <protection/>
    </xf>
    <xf numFmtId="0" fontId="14" fillId="2" borderId="80" xfId="26" applyFont="1" applyFill="1" applyBorder="1" applyAlignment="1">
      <alignment horizontal="center"/>
      <protection/>
    </xf>
    <xf numFmtId="0" fontId="14" fillId="5" borderId="6" xfId="26" applyFont="1" applyFill="1" applyBorder="1" applyAlignment="1">
      <alignment horizontal="center"/>
      <protection/>
    </xf>
    <xf numFmtId="0" fontId="15" fillId="0" borderId="1" xfId="26" applyFont="1" applyBorder="1" applyAlignment="1">
      <alignment horizontal="left" vertical="center" wrapText="1"/>
      <protection/>
    </xf>
    <xf numFmtId="0" fontId="15" fillId="0" borderId="14" xfId="26" applyFont="1" applyBorder="1" applyAlignment="1">
      <alignment horizontal="left" vertical="center" wrapText="1"/>
      <protection/>
    </xf>
    <xf numFmtId="0" fontId="15" fillId="0" borderId="10" xfId="26" applyFont="1" applyBorder="1" applyAlignment="1">
      <alignment horizontal="left" vertical="center" wrapText="1"/>
      <protection/>
    </xf>
    <xf numFmtId="0" fontId="15" fillId="0" borderId="17" xfId="26" applyFont="1" applyBorder="1" applyAlignment="1">
      <alignment horizontal="left" vertical="center" wrapText="1"/>
      <protection/>
    </xf>
    <xf numFmtId="0" fontId="14" fillId="2" borderId="73" xfId="26" applyFont="1" applyFill="1" applyBorder="1" applyAlignment="1">
      <alignment horizontal="center"/>
      <protection/>
    </xf>
    <xf numFmtId="0" fontId="14" fillId="2" borderId="62" xfId="26" applyFont="1" applyFill="1" applyBorder="1" applyAlignment="1">
      <alignment horizontal="center"/>
      <protection/>
    </xf>
    <xf numFmtId="0" fontId="14" fillId="2" borderId="76" xfId="26" applyFont="1" applyFill="1" applyBorder="1" applyAlignment="1">
      <alignment horizontal="center"/>
      <protection/>
    </xf>
    <xf numFmtId="0" fontId="13" fillId="5" borderId="2" xfId="26" applyFont="1" applyFill="1" applyBorder="1" applyAlignment="1">
      <alignment horizontal="center"/>
      <protection/>
    </xf>
    <xf numFmtId="0" fontId="13" fillId="5" borderId="12" xfId="26" applyFont="1" applyFill="1" applyBorder="1" applyAlignment="1">
      <alignment horizontal="center"/>
      <protection/>
    </xf>
    <xf numFmtId="169" fontId="13" fillId="0" borderId="0" xfId="27" applyFont="1" applyBorder="1" applyAlignment="1">
      <alignment horizontal="center"/>
      <protection/>
    </xf>
    <xf numFmtId="0" fontId="14" fillId="2" borderId="64" xfId="26" applyFont="1" applyFill="1" applyBorder="1" applyAlignment="1">
      <alignment horizontal="center"/>
      <protection/>
    </xf>
    <xf numFmtId="0" fontId="14" fillId="2" borderId="65" xfId="26" applyFont="1" applyFill="1" applyBorder="1" applyAlignment="1">
      <alignment horizontal="center"/>
      <protection/>
    </xf>
    <xf numFmtId="0" fontId="14" fillId="2" borderId="81" xfId="26" applyFont="1" applyFill="1" applyBorder="1" applyAlignment="1">
      <alignment horizontal="center"/>
      <protection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9" fillId="5" borderId="21" xfId="0" applyNumberFormat="1" applyFont="1" applyFill="1" applyBorder="1" applyAlignment="1">
      <alignment horizontal="center" vertical="center" wrapText="1"/>
    </xf>
    <xf numFmtId="49" fontId="9" fillId="5" borderId="74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9" fillId="5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0" fillId="0" borderId="7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8" fontId="2" fillId="18" borderId="4" xfId="0" applyNumberFormat="1" applyFont="1" applyFill="1" applyBorder="1" applyAlignment="1">
      <alignment horizontal="right" vertical="center"/>
    </xf>
    <xf numFmtId="168" fontId="2" fillId="18" borderId="5" xfId="0" applyNumberFormat="1" applyFont="1" applyFill="1" applyBorder="1" applyAlignment="1">
      <alignment horizontal="right" vertical="center"/>
    </xf>
    <xf numFmtId="168" fontId="2" fillId="18" borderId="21" xfId="0" applyNumberFormat="1" applyFont="1" applyFill="1" applyBorder="1" applyAlignment="1">
      <alignment horizontal="right" vertical="center"/>
    </xf>
    <xf numFmtId="1" fontId="2" fillId="18" borderId="4" xfId="0" applyNumberFormat="1" applyFont="1" applyFill="1" applyBorder="1" applyAlignment="1">
      <alignment horizontal="left" vertical="center"/>
    </xf>
    <xf numFmtId="1" fontId="2" fillId="18" borderId="5" xfId="0" applyNumberFormat="1" applyFont="1" applyFill="1" applyBorder="1" applyAlignment="1">
      <alignment horizontal="left" vertical="center"/>
    </xf>
    <xf numFmtId="1" fontId="2" fillId="18" borderId="21" xfId="0" applyNumberFormat="1" applyFont="1" applyFill="1" applyBorder="1" applyAlignment="1">
      <alignment horizontal="left" vertical="center"/>
    </xf>
    <xf numFmtId="168" fontId="2" fillId="18" borderId="74" xfId="0" applyNumberFormat="1" applyFont="1" applyFill="1" applyBorder="1" applyAlignment="1">
      <alignment horizontal="right" vertical="center"/>
    </xf>
    <xf numFmtId="168" fontId="2" fillId="18" borderId="6" xfId="0" applyNumberFormat="1" applyFont="1" applyFill="1" applyBorder="1" applyAlignment="1">
      <alignment horizontal="right" vertical="center"/>
    </xf>
    <xf numFmtId="168" fontId="2" fillId="18" borderId="23" xfId="0" applyNumberFormat="1" applyFont="1" applyFill="1" applyBorder="1" applyAlignment="1">
      <alignment horizontal="right" vertical="center"/>
    </xf>
    <xf numFmtId="165" fontId="2" fillId="18" borderId="74" xfId="25" applyNumberFormat="1" applyFont="1" applyFill="1" applyBorder="1" applyAlignment="1">
      <alignment horizontal="left" vertical="center"/>
    </xf>
    <xf numFmtId="165" fontId="2" fillId="18" borderId="6" xfId="25" applyNumberFormat="1" applyFont="1" applyFill="1" applyBorder="1" applyAlignment="1">
      <alignment horizontal="left" vertical="center"/>
    </xf>
    <xf numFmtId="165" fontId="2" fillId="18" borderId="23" xfId="25" applyNumberFormat="1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44" fontId="2" fillId="2" borderId="48" xfId="25" applyFont="1" applyFill="1" applyBorder="1" applyAlignment="1">
      <alignment horizontal="center" vertical="center" wrapText="1"/>
    </xf>
    <xf numFmtId="44" fontId="2" fillId="2" borderId="46" xfId="25" applyFont="1" applyFill="1" applyBorder="1" applyAlignment="1">
      <alignment horizontal="center" vertical="center" wrapText="1"/>
    </xf>
    <xf numFmtId="168" fontId="2" fillId="2" borderId="48" xfId="0" applyNumberFormat="1" applyFont="1" applyFill="1" applyBorder="1" applyAlignment="1">
      <alignment horizontal="center" vertical="center" wrapText="1"/>
    </xf>
    <xf numFmtId="168" fontId="2" fillId="2" borderId="46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left" vertical="center" wrapText="1"/>
    </xf>
    <xf numFmtId="49" fontId="4" fillId="5" borderId="21" xfId="0" applyNumberFormat="1" applyFont="1" applyFill="1" applyBorder="1" applyAlignment="1">
      <alignment horizontal="left" vertical="center" wrapText="1"/>
    </xf>
    <xf numFmtId="49" fontId="4" fillId="5" borderId="74" xfId="0" applyNumberFormat="1" applyFont="1" applyFill="1" applyBorder="1" applyAlignment="1">
      <alignment horizontal="left" vertical="center" wrapText="1"/>
    </xf>
    <xf numFmtId="49" fontId="4" fillId="5" borderId="23" xfId="0" applyNumberFormat="1" applyFont="1" applyFill="1" applyBorder="1" applyAlignment="1">
      <alignment horizontal="left" vertical="center" wrapText="1"/>
    </xf>
    <xf numFmtId="44" fontId="2" fillId="5" borderId="4" xfId="25" applyFont="1" applyFill="1" applyBorder="1" applyAlignment="1">
      <alignment horizontal="center" vertical="center"/>
    </xf>
    <xf numFmtId="44" fontId="2" fillId="5" borderId="5" xfId="25" applyFont="1" applyFill="1" applyBorder="1" applyAlignment="1">
      <alignment horizontal="center" vertical="center"/>
    </xf>
    <xf numFmtId="44" fontId="2" fillId="5" borderId="21" xfId="25" applyFont="1" applyFill="1" applyBorder="1" applyAlignment="1">
      <alignment horizontal="center" vertical="center"/>
    </xf>
    <xf numFmtId="44" fontId="2" fillId="5" borderId="74" xfId="25" applyFont="1" applyFill="1" applyBorder="1" applyAlignment="1">
      <alignment horizontal="center" vertical="center"/>
    </xf>
    <xf numFmtId="44" fontId="2" fillId="5" borderId="6" xfId="25" applyFont="1" applyFill="1" applyBorder="1" applyAlignment="1">
      <alignment horizontal="center" vertical="center"/>
    </xf>
    <xf numFmtId="44" fontId="2" fillId="5" borderId="23" xfId="25" applyFont="1" applyFill="1" applyBorder="1" applyAlignment="1">
      <alignment horizontal="center" vertical="center"/>
    </xf>
    <xf numFmtId="44" fontId="0" fillId="5" borderId="4" xfId="25" applyFont="1" applyFill="1" applyBorder="1" applyAlignment="1">
      <alignment horizontal="center" vertical="center" wrapText="1"/>
    </xf>
    <xf numFmtId="44" fontId="0" fillId="5" borderId="5" xfId="25" applyFont="1" applyFill="1" applyBorder="1" applyAlignment="1">
      <alignment horizontal="center" vertical="center" wrapText="1"/>
    </xf>
    <xf numFmtId="44" fontId="0" fillId="5" borderId="21" xfId="25" applyFont="1" applyFill="1" applyBorder="1" applyAlignment="1">
      <alignment horizontal="center" vertical="center" wrapText="1"/>
    </xf>
    <xf numFmtId="44" fontId="0" fillId="5" borderId="74" xfId="25" applyFont="1" applyFill="1" applyBorder="1" applyAlignment="1">
      <alignment horizontal="center" vertical="center" wrapText="1"/>
    </xf>
    <xf numFmtId="44" fontId="0" fillId="5" borderId="6" xfId="25" applyFont="1" applyFill="1" applyBorder="1" applyAlignment="1">
      <alignment horizontal="center" vertical="center" wrapText="1"/>
    </xf>
    <xf numFmtId="44" fontId="0" fillId="5" borderId="23" xfId="25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Porcentagem" xfId="22"/>
    <cellStyle name="Porcentagem 2" xfId="23"/>
    <cellStyle name="Vírgula 2" xfId="24"/>
    <cellStyle name="Moeda 2" xfId="25"/>
    <cellStyle name="Normal 12" xfId="26"/>
    <cellStyle name="Normal 17" xfId="27"/>
  </cellStyles>
  <dxfs count="5">
    <dxf>
      <font>
        <color theme="0"/>
      </font>
      <fill>
        <patternFill patternType="solid">
          <bgColor theme="9"/>
        </patternFill>
      </fill>
      <border/>
    </dxf>
    <dxf>
      <font>
        <color theme="0"/>
      </font>
      <fill>
        <patternFill patternType="solid">
          <bgColor theme="9"/>
        </patternFill>
      </fill>
      <border/>
    </dxf>
    <dxf>
      <font>
        <color theme="0"/>
      </font>
      <fill>
        <patternFill patternType="solid">
          <bgColor theme="9"/>
        </patternFill>
      </fill>
      <border/>
    </dxf>
    <dxf>
      <font>
        <color theme="0"/>
      </font>
      <fill>
        <patternFill patternType="solid">
          <bgColor theme="9"/>
        </patternFill>
      </fill>
      <border/>
    </dxf>
    <dxf>
      <font>
        <color theme="0"/>
      </font>
      <fill>
        <patternFill patternType="solid"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3667125</xdr:colOff>
      <xdr:row>3</xdr:row>
      <xdr:rowOff>133350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5695950" y="22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3667125</xdr:colOff>
      <xdr:row>3</xdr:row>
      <xdr:rowOff>133350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5695950" y="22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3667125</xdr:colOff>
      <xdr:row>7</xdr:row>
      <xdr:rowOff>133350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4610100" y="152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2</xdr:row>
      <xdr:rowOff>133350</xdr:rowOff>
    </xdr:from>
    <xdr:ext cx="171450" cy="266700"/>
    <xdr:sp macro="" textlink="">
      <xdr:nvSpPr>
        <xdr:cNvPr id="2" name="CaixaDeTexto 1"/>
        <xdr:cNvSpPr txBox="1"/>
      </xdr:nvSpPr>
      <xdr:spPr>
        <a:xfrm>
          <a:off x="63436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752475</xdr:colOff>
      <xdr:row>2</xdr:row>
      <xdr:rowOff>133350</xdr:rowOff>
    </xdr:from>
    <xdr:ext cx="171450" cy="266700"/>
    <xdr:sp macro="" textlink="">
      <xdr:nvSpPr>
        <xdr:cNvPr id="3" name="CaixaDeTexto 2"/>
        <xdr:cNvSpPr txBox="1"/>
      </xdr:nvSpPr>
      <xdr:spPr>
        <a:xfrm>
          <a:off x="63436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47625</xdr:rowOff>
    </xdr:from>
    <xdr:to>
      <xdr:col>6</xdr:col>
      <xdr:colOff>438150</xdr:colOff>
      <xdr:row>25</xdr:row>
      <xdr:rowOff>19050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4953000"/>
          <a:ext cx="4257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66675</xdr:rowOff>
    </xdr:from>
    <xdr:to>
      <xdr:col>4</xdr:col>
      <xdr:colOff>342900</xdr:colOff>
      <xdr:row>57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895"/>
        <a:stretch>
          <a:fillRect/>
        </a:stretch>
      </xdr:blipFill>
      <xdr:spPr>
        <a:xfrm>
          <a:off x="28575" y="7334250"/>
          <a:ext cx="3171825" cy="461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314325</xdr:colOff>
      <xdr:row>34</xdr:row>
      <xdr:rowOff>0</xdr:rowOff>
    </xdr:from>
    <xdr:to>
      <xdr:col>9</xdr:col>
      <xdr:colOff>0</xdr:colOff>
      <xdr:row>59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9" t="60137" r="-579" b="-1095"/>
        <a:stretch>
          <a:fillRect/>
        </a:stretch>
      </xdr:blipFill>
      <xdr:spPr>
        <a:xfrm>
          <a:off x="3171825" y="7429500"/>
          <a:ext cx="2876550" cy="472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514350</xdr:colOff>
      <xdr:row>0</xdr:row>
      <xdr:rowOff>171450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781300" y="171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ace%20Valadares\Desktop\Prefeitura%20de%20Santar&#233;m%20Novo\Unidades%20de%20Sa&#250;de\Pedrinhas\Or&#231;amento\Planilha%20Or&#231;ament&#225;ria%20Pedrinh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ace%20Valadares\Desktop\Prefeitura%20de%20Santar&#233;m%20Novo\Modelo%20SETRAN\Proposta%2001\PLANILHA%20OR&#199;AMENT&#193;RIA%20-%20Santar&#233;m%20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 Orç Não Deson."/>
      <sheetName val="BDI Não Deson."/>
      <sheetName val="Enc.Soc. "/>
      <sheetName val="Cronograma Físico-Financeiro"/>
      <sheetName val="Quadro_Áreas"/>
    </sheetNames>
    <sheetDataSet>
      <sheetData sheetId="0" refreshError="1"/>
      <sheetData sheetId="1" refreshError="1"/>
      <sheetData sheetId="2" refreshError="1">
        <row r="25">
          <cell r="I25">
            <v>0.2509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 NÃO DESONERADO"/>
      <sheetName val="RESUMO DESONERADO"/>
      <sheetName val="PANILHA NÃO DESONERADA"/>
      <sheetName val="PANILHA DESONERADA"/>
      <sheetName val="CFF NÃO DESONERADO"/>
      <sheetName val="CFF DESONERADO"/>
      <sheetName val="BDI NÃO DESONERADO"/>
      <sheetName val="BDI DESONERADO"/>
      <sheetName val="ENC.SOC. "/>
      <sheetName val="CPU SICRO DESONERADA"/>
      <sheetName val="CPU SICRO ATV AUX"/>
      <sheetName val="PROJ EXECUTIVO"/>
      <sheetName val="0.DADOS"/>
      <sheetName val="2.SER.PREL."/>
      <sheetName val="3.TERRAPLENAGEM"/>
      <sheetName val="4.REV. PRIMÁRIO"/>
      <sheetName val="5.DRENAGEM"/>
      <sheetName val="BOTA FORA E JAZIDA"/>
      <sheetName val="BOTA FORA E JAZIDA (2)"/>
      <sheetName val="BOTA FORA E JAZIDA (3)"/>
      <sheetName val="BOTA FORA E JAZIDA (4)"/>
      <sheetName val="BOTA FORA E JAZIDA (5)"/>
      <sheetName val="BOTA FORA E JAZIDA (6)"/>
      <sheetName val="BOTA FORA E JAZIDA (7)"/>
      <sheetName val="BOTA FORA E JAZIDA (8)"/>
      <sheetName val="BOTA FORA E JAZIDA (9)"/>
      <sheetName val="BOTA FORA E JAZIDA (10)"/>
      <sheetName val="BOTA FORA E JAZIDA (11)"/>
    </sheetNames>
    <sheetDataSet>
      <sheetData sheetId="0"/>
      <sheetData sheetId="1"/>
      <sheetData sheetId="2">
        <row r="3">
          <cell r="H3" t="str">
            <v>SANTARÉM NOVO/PA</v>
          </cell>
        </row>
        <row r="4">
          <cell r="A4" t="str">
            <v>PROPONENTE</v>
          </cell>
          <cell r="B4">
            <v>0</v>
          </cell>
        </row>
        <row r="5">
          <cell r="A5" t="str">
            <v>OBJETO</v>
          </cell>
          <cell r="B5">
            <v>0</v>
          </cell>
        </row>
        <row r="6">
          <cell r="A6" t="str">
            <v>ENDEREÇO OBRA</v>
          </cell>
          <cell r="B6">
            <v>0</v>
          </cell>
        </row>
        <row r="7">
          <cell r="F7" t="str">
            <v>REGISTRO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28"/>
  <sheetViews>
    <sheetView view="pageBreakPreview" zoomScale="80" zoomScaleSheetLayoutView="80" workbookViewId="0" topLeftCell="A1">
      <selection activeCell="C3" sqref="C3:D3"/>
    </sheetView>
  </sheetViews>
  <sheetFormatPr defaultColWidth="9.00390625" defaultRowHeight="15"/>
  <cols>
    <col min="1" max="1" width="12.140625" style="0" customWidth="1"/>
    <col min="2" max="2" width="10.8515625" style="0" customWidth="1"/>
    <col min="3" max="3" width="7.421875" style="0" customWidth="1"/>
    <col min="4" max="4" width="63.140625" style="179" customWidth="1"/>
    <col min="5" max="5" width="9.140625" style="0" customWidth="1"/>
    <col min="6" max="6" width="16.28125" style="0" customWidth="1"/>
    <col min="7" max="7" width="13.421875" style="0" customWidth="1"/>
    <col min="8" max="8" width="19.7109375" style="0" customWidth="1"/>
    <col min="11" max="11" width="9.8515625" style="0" customWidth="1"/>
  </cols>
  <sheetData>
    <row r="1" spans="1:8" ht="117" customHeight="1">
      <c r="A1" s="335"/>
      <c r="B1" s="335"/>
      <c r="C1" s="335"/>
      <c r="D1" s="335"/>
      <c r="E1" s="335"/>
      <c r="F1" s="335"/>
      <c r="G1" s="335"/>
      <c r="H1" s="335"/>
    </row>
    <row r="2" spans="1:8" ht="24" customHeight="1">
      <c r="A2" s="336" t="s">
        <v>361</v>
      </c>
      <c r="B2" s="337"/>
      <c r="C2" s="337"/>
      <c r="D2" s="338"/>
      <c r="E2" s="306" t="s">
        <v>0</v>
      </c>
      <c r="F2" s="307"/>
      <c r="G2" s="310">
        <f>E13</f>
        <v>324823.95000000007</v>
      </c>
      <c r="H2" s="311"/>
    </row>
    <row r="3" spans="1:8" ht="29.45" customHeight="1">
      <c r="A3" s="339" t="s">
        <v>1</v>
      </c>
      <c r="B3" s="340"/>
      <c r="C3" s="341" t="s">
        <v>318</v>
      </c>
      <c r="D3" s="342"/>
      <c r="E3" s="308"/>
      <c r="F3" s="309"/>
      <c r="G3" s="312"/>
      <c r="H3" s="313"/>
    </row>
    <row r="4" spans="1:9" ht="29.45" customHeight="1">
      <c r="A4" s="343" t="s">
        <v>2</v>
      </c>
      <c r="B4" s="344"/>
      <c r="C4" s="345" t="s">
        <v>319</v>
      </c>
      <c r="D4" s="345"/>
      <c r="E4" s="346" t="s">
        <v>3</v>
      </c>
      <c r="F4" s="346"/>
      <c r="G4" s="347">
        <f>'[1]BDI Não Deson.'!I25</f>
        <v>0.2509</v>
      </c>
      <c r="H4" s="348"/>
      <c r="I4" s="182"/>
    </row>
    <row r="5" spans="1:8" ht="6" customHeight="1">
      <c r="A5" s="320"/>
      <c r="B5" s="321"/>
      <c r="C5" s="321"/>
      <c r="D5" s="321"/>
      <c r="E5" s="321"/>
      <c r="F5" s="321"/>
      <c r="G5" s="321"/>
      <c r="H5" s="322"/>
    </row>
    <row r="6" spans="1:10" ht="27.75" customHeight="1">
      <c r="A6" s="323" t="s">
        <v>4</v>
      </c>
      <c r="B6" s="324"/>
      <c r="C6" s="324"/>
      <c r="D6" s="324"/>
      <c r="E6" s="324"/>
      <c r="F6" s="324"/>
      <c r="G6" s="324"/>
      <c r="H6" s="325"/>
      <c r="J6" s="15"/>
    </row>
    <row r="7" spans="1:10" ht="6.75" customHeight="1">
      <c r="A7" s="326"/>
      <c r="B7" s="327"/>
      <c r="C7" s="327"/>
      <c r="D7" s="327"/>
      <c r="E7" s="327"/>
      <c r="F7" s="327"/>
      <c r="G7" s="327"/>
      <c r="H7" s="328"/>
      <c r="J7" s="15"/>
    </row>
    <row r="8" spans="1:10" ht="15.75">
      <c r="A8" s="217" t="s">
        <v>5</v>
      </c>
      <c r="B8" s="329" t="s">
        <v>6</v>
      </c>
      <c r="C8" s="330"/>
      <c r="D8" s="331"/>
      <c r="E8" s="332" t="s">
        <v>7</v>
      </c>
      <c r="F8" s="333"/>
      <c r="G8" s="334"/>
      <c r="H8" s="218" t="s">
        <v>8</v>
      </c>
      <c r="J8" s="183"/>
    </row>
    <row r="9" spans="1:8" ht="15.75">
      <c r="A9" s="219">
        <v>1</v>
      </c>
      <c r="B9" s="314" t="str">
        <f>'Planilha Orç Não Deson.'!D13</f>
        <v>SERVIÇOS PRELIMINARES</v>
      </c>
      <c r="C9" s="314"/>
      <c r="D9" s="314"/>
      <c r="E9" s="315">
        <f>'Planilha Orç Não Deson.'!I15</f>
        <v>14928.75</v>
      </c>
      <c r="F9" s="315"/>
      <c r="G9" s="315"/>
      <c r="H9" s="220">
        <f>E9/E13</f>
        <v>0.04595951129835099</v>
      </c>
    </row>
    <row r="10" spans="1:8" ht="15.75">
      <c r="A10" s="221">
        <v>2</v>
      </c>
      <c r="B10" s="316" t="str">
        <f>'Planilha Orç Não Deson.'!D16</f>
        <v>SERVIÇOS INICIAIS</v>
      </c>
      <c r="C10" s="316"/>
      <c r="D10" s="316"/>
      <c r="E10" s="317">
        <f>'Planilha Orç Não Deson.'!I18</f>
        <v>4093.2</v>
      </c>
      <c r="F10" s="317"/>
      <c r="G10" s="317"/>
      <c r="H10" s="222">
        <f>E10/E13</f>
        <v>0.012601287558999264</v>
      </c>
    </row>
    <row r="11" spans="1:8" ht="15.75">
      <c r="A11" s="223">
        <v>3</v>
      </c>
      <c r="B11" s="318" t="str">
        <f>'Planilha Orç Não Deson.'!D19</f>
        <v>APLICAÇÃO DA MASSA ASFALTICA: TAPA BURACO</v>
      </c>
      <c r="C11" s="318"/>
      <c r="D11" s="318"/>
      <c r="E11" s="319">
        <f>'Planilha Orç Não Deson.'!I22</f>
        <v>305802.00000000006</v>
      </c>
      <c r="F11" s="319"/>
      <c r="G11" s="319"/>
      <c r="H11" s="224">
        <f>E11/E13</f>
        <v>0.9414392011426497</v>
      </c>
    </row>
    <row r="12" spans="1:8" ht="4.15" customHeight="1">
      <c r="A12" s="225"/>
      <c r="B12" s="225"/>
      <c r="C12" s="225"/>
      <c r="D12" s="226"/>
      <c r="E12" s="302"/>
      <c r="F12" s="302"/>
      <c r="G12" s="302"/>
      <c r="H12" s="225"/>
    </row>
    <row r="13" spans="1:8" ht="22.9" customHeight="1">
      <c r="A13" s="225"/>
      <c r="B13" s="225"/>
      <c r="C13" s="225"/>
      <c r="D13" s="226"/>
      <c r="E13" s="303">
        <f>SUM(E9:G11)</f>
        <v>324823.95000000007</v>
      </c>
      <c r="F13" s="304"/>
      <c r="G13" s="304"/>
      <c r="H13" s="227">
        <f>SUM(H9:H11)</f>
        <v>0.9999999999999999</v>
      </c>
    </row>
    <row r="14" spans="1:8" ht="15">
      <c r="A14" s="180"/>
      <c r="B14" s="180"/>
      <c r="C14" s="180"/>
      <c r="D14" s="181"/>
      <c r="E14" s="180"/>
      <c r="F14" s="180"/>
      <c r="G14" s="180"/>
      <c r="H14" s="180"/>
    </row>
    <row r="15" spans="1:8" ht="15">
      <c r="A15" s="228"/>
      <c r="B15" s="228"/>
      <c r="C15" s="228"/>
      <c r="D15" s="229"/>
      <c r="E15" s="228"/>
      <c r="F15" s="228"/>
      <c r="G15" s="228"/>
      <c r="H15" s="228"/>
    </row>
    <row r="16" spans="1:8" ht="15">
      <c r="A16" s="228"/>
      <c r="B16" s="228"/>
      <c r="C16" s="228"/>
      <c r="D16" s="229"/>
      <c r="E16" s="228"/>
      <c r="F16" s="228"/>
      <c r="G16" s="228"/>
      <c r="H16" s="228"/>
    </row>
    <row r="17" spans="1:8" ht="15">
      <c r="A17" s="228"/>
      <c r="B17" s="228"/>
      <c r="C17" s="228"/>
      <c r="D17" s="229"/>
      <c r="E17" s="228"/>
      <c r="F17" s="228"/>
      <c r="G17" s="228"/>
      <c r="H17" s="228"/>
    </row>
    <row r="18" spans="1:8" ht="15">
      <c r="A18" s="228"/>
      <c r="B18" s="228"/>
      <c r="C18" s="228"/>
      <c r="D18" s="229"/>
      <c r="E18" s="228"/>
      <c r="F18" s="228"/>
      <c r="G18" s="228"/>
      <c r="H18" s="228"/>
    </row>
    <row r="19" spans="1:8" ht="15">
      <c r="A19" s="228"/>
      <c r="B19" s="228"/>
      <c r="C19" s="228"/>
      <c r="D19" s="229"/>
      <c r="E19" s="228"/>
      <c r="F19" s="228"/>
      <c r="G19" s="228"/>
      <c r="H19" s="228"/>
    </row>
    <row r="20" spans="1:8" ht="15">
      <c r="A20" s="228"/>
      <c r="B20" s="228"/>
      <c r="C20" s="228"/>
      <c r="D20" s="229"/>
      <c r="E20" s="228"/>
      <c r="F20" s="228"/>
      <c r="G20" s="228"/>
      <c r="H20" s="228"/>
    </row>
    <row r="21" spans="1:8" ht="15">
      <c r="A21" s="228"/>
      <c r="B21" s="228"/>
      <c r="C21" s="228"/>
      <c r="D21" s="229"/>
      <c r="E21" s="228"/>
      <c r="F21" s="228"/>
      <c r="G21" s="228"/>
      <c r="H21" s="228"/>
    </row>
    <row r="22" spans="1:8" ht="15">
      <c r="A22" s="228"/>
      <c r="B22" s="228"/>
      <c r="C22" s="228"/>
      <c r="D22" s="230"/>
      <c r="E22" s="231"/>
      <c r="F22" s="231"/>
      <c r="G22" s="228"/>
      <c r="H22" s="228"/>
    </row>
    <row r="23" spans="1:8" ht="57.75" customHeight="1">
      <c r="A23" s="305" t="s">
        <v>9</v>
      </c>
      <c r="B23" s="305"/>
      <c r="C23" s="305"/>
      <c r="D23" s="305"/>
      <c r="E23" s="305"/>
      <c r="F23" s="305"/>
      <c r="G23" s="305"/>
      <c r="H23" s="305"/>
    </row>
    <row r="24" spans="1:8" ht="15">
      <c r="A24" s="228"/>
      <c r="B24" s="228"/>
      <c r="C24" s="228"/>
      <c r="D24" s="229"/>
      <c r="E24" s="228"/>
      <c r="F24" s="228"/>
      <c r="G24" s="228"/>
      <c r="H24" s="228"/>
    </row>
    <row r="25" spans="1:8" ht="15">
      <c r="A25" s="228"/>
      <c r="B25" s="228"/>
      <c r="C25" s="228"/>
      <c r="D25" s="229"/>
      <c r="E25" s="228"/>
      <c r="F25" s="228"/>
      <c r="G25" s="228"/>
      <c r="H25" s="228"/>
    </row>
    <row r="26" spans="1:8" ht="15">
      <c r="A26" s="228"/>
      <c r="B26" s="228"/>
      <c r="C26" s="228"/>
      <c r="D26" s="229"/>
      <c r="E26" s="228"/>
      <c r="F26" s="228"/>
      <c r="G26" s="228"/>
      <c r="H26" s="228"/>
    </row>
    <row r="27" spans="1:8" ht="15">
      <c r="A27" s="228"/>
      <c r="B27" s="228"/>
      <c r="C27" s="228"/>
      <c r="D27" s="229"/>
      <c r="E27" s="228"/>
      <c r="F27" s="228"/>
      <c r="G27" s="228"/>
      <c r="H27" s="228"/>
    </row>
    <row r="28" spans="1:8" ht="15">
      <c r="A28" s="228"/>
      <c r="B28" s="228"/>
      <c r="C28" s="228"/>
      <c r="D28" s="229"/>
      <c r="E28" s="228"/>
      <c r="F28" s="228"/>
      <c r="G28" s="228"/>
      <c r="H28" s="228"/>
    </row>
  </sheetData>
  <mergeCells count="24">
    <mergeCell ref="A1:H1"/>
    <mergeCell ref="A2:D2"/>
    <mergeCell ref="A3:B3"/>
    <mergeCell ref="C3:D3"/>
    <mergeCell ref="A4:B4"/>
    <mergeCell ref="C4:D4"/>
    <mergeCell ref="E4:F4"/>
    <mergeCell ref="G4:H4"/>
    <mergeCell ref="E12:G12"/>
    <mergeCell ref="E13:G13"/>
    <mergeCell ref="A23:H23"/>
    <mergeCell ref="E2:F3"/>
    <mergeCell ref="G2:H3"/>
    <mergeCell ref="B9:D9"/>
    <mergeCell ref="E9:G9"/>
    <mergeCell ref="B10:D10"/>
    <mergeCell ref="E10:G10"/>
    <mergeCell ref="B11:D11"/>
    <mergeCell ref="E11:G11"/>
    <mergeCell ref="A5:H5"/>
    <mergeCell ref="A6:H6"/>
    <mergeCell ref="A7:H7"/>
    <mergeCell ref="B8:D8"/>
    <mergeCell ref="E8:G8"/>
  </mergeCells>
  <printOptions horizontalCentered="1"/>
  <pageMargins left="0.5118110236220472" right="0.5118110236220472" top="1.1811023622047245" bottom="0.7874015748031497" header="0.31496062992125984" footer="0.31496062992125984"/>
  <pageSetup fitToHeight="1" fitToWidth="1" horizontalDpi="600" verticalDpi="600" orientation="landscape" paperSize="9" scale="79" r:id="rId3"/>
  <headerFooter>
    <oddHeader>&amp;C&amp;G</oddHeader>
    <oddFooter>&amp;CGL CONSTRUTORA LTDA
CNPJ: 05.214.984/0001-27
INSCRIÇÃO ESTADUAL: 15.265.127-6
Endereço: RAMAL DO DEZOITO, 100, SALA 01, KM 02, ZONA RURAL
CEP: 68.738-000 - SANTA MARIA DO PARÁ</oddFooter>
  </headerFooter>
  <colBreaks count="1" manualBreakCount="1">
    <brk id="8" max="16383" man="1"/>
  </colBreak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5"/>
  <sheetViews>
    <sheetView view="pageBreakPreview" zoomScale="85" zoomScaleSheetLayoutView="85" workbookViewId="0" topLeftCell="A31">
      <selection activeCell="D28" sqref="D28"/>
    </sheetView>
  </sheetViews>
  <sheetFormatPr defaultColWidth="9.00390625" defaultRowHeight="15"/>
  <cols>
    <col min="1" max="1" width="13.57421875" style="0" customWidth="1"/>
    <col min="2" max="3" width="8.8515625" style="15" customWidth="1"/>
    <col min="4" max="4" width="67.7109375" style="0" customWidth="1"/>
    <col min="5" max="5" width="15.8515625" style="15" customWidth="1"/>
    <col min="6" max="6" width="15.7109375" style="16" customWidth="1"/>
    <col min="7" max="7" width="17.7109375" style="17" customWidth="1"/>
    <col min="8" max="8" width="17.57421875" style="17" customWidth="1"/>
  </cols>
  <sheetData>
    <row r="1" spans="1:8" ht="29.45" customHeight="1">
      <c r="A1" s="537" t="s">
        <v>237</v>
      </c>
      <c r="B1" s="491"/>
      <c r="C1" s="491"/>
      <c r="D1" s="491"/>
      <c r="E1" s="491"/>
      <c r="F1" s="491"/>
      <c r="G1" s="491"/>
      <c r="H1" s="538"/>
    </row>
    <row r="2" spans="1:8" ht="15">
      <c r="A2" s="18" t="s">
        <v>238</v>
      </c>
      <c r="B2" s="18" t="s">
        <v>16</v>
      </c>
      <c r="C2" s="18" t="s">
        <v>17</v>
      </c>
      <c r="D2" s="18" t="s">
        <v>18</v>
      </c>
      <c r="E2" s="18" t="s">
        <v>19</v>
      </c>
      <c r="F2" s="19" t="s">
        <v>20</v>
      </c>
      <c r="G2" s="20" t="s">
        <v>239</v>
      </c>
      <c r="H2" s="20" t="s">
        <v>23</v>
      </c>
    </row>
    <row r="3" spans="1:8" ht="15">
      <c r="A3" s="4"/>
      <c r="B3" s="4"/>
      <c r="C3" s="4">
        <v>1</v>
      </c>
      <c r="D3" s="362" t="s">
        <v>240</v>
      </c>
      <c r="E3" s="362"/>
      <c r="F3" s="362"/>
      <c r="G3" s="362"/>
      <c r="H3" s="362"/>
    </row>
    <row r="4" spans="1:8" ht="31.15" customHeight="1">
      <c r="A4" s="21" t="s">
        <v>241</v>
      </c>
      <c r="B4" s="21">
        <v>4408</v>
      </c>
      <c r="C4" s="21" t="s">
        <v>25</v>
      </c>
      <c r="D4" s="22" t="s">
        <v>242</v>
      </c>
      <c r="E4" s="21" t="s">
        <v>243</v>
      </c>
      <c r="F4" s="23">
        <v>4</v>
      </c>
      <c r="G4" s="24">
        <f>1.94*3*12</f>
        <v>69.84</v>
      </c>
      <c r="H4" s="24">
        <f>F4*G4</f>
        <v>279.36</v>
      </c>
    </row>
    <row r="5" spans="1:8" ht="30">
      <c r="A5" s="21" t="s">
        <v>241</v>
      </c>
      <c r="B5" s="21">
        <v>4430</v>
      </c>
      <c r="C5" s="21" t="s">
        <v>244</v>
      </c>
      <c r="D5" s="25" t="s">
        <v>245</v>
      </c>
      <c r="E5" s="21" t="s">
        <v>243</v>
      </c>
      <c r="F5" s="23">
        <v>4</v>
      </c>
      <c r="G5" s="24">
        <f>8.78*3*12</f>
        <v>316.0799999999999</v>
      </c>
      <c r="H5" s="24">
        <f>F5*G5</f>
        <v>1264.3199999999997</v>
      </c>
    </row>
    <row r="6" spans="1:8" ht="15">
      <c r="A6" s="21" t="s">
        <v>241</v>
      </c>
      <c r="B6" s="21">
        <v>20247</v>
      </c>
      <c r="C6" s="21" t="s">
        <v>246</v>
      </c>
      <c r="D6" s="7" t="s">
        <v>247</v>
      </c>
      <c r="E6" s="21" t="s">
        <v>40</v>
      </c>
      <c r="F6" s="23">
        <v>4</v>
      </c>
      <c r="G6" s="24">
        <v>11.26</v>
      </c>
      <c r="H6" s="24">
        <f aca="true" t="shared" si="0" ref="H6:H9">F6*G6</f>
        <v>45.04</v>
      </c>
    </row>
    <row r="7" spans="1:8" ht="15">
      <c r="A7" s="21" t="s">
        <v>241</v>
      </c>
      <c r="B7" s="21">
        <v>39027</v>
      </c>
      <c r="C7" s="21" t="s">
        <v>248</v>
      </c>
      <c r="D7" s="7" t="s">
        <v>249</v>
      </c>
      <c r="E7" s="21" t="s">
        <v>40</v>
      </c>
      <c r="F7" s="23">
        <v>3</v>
      </c>
      <c r="G7" s="24">
        <v>10.16</v>
      </c>
      <c r="H7" s="24">
        <f t="shared" si="0"/>
        <v>30.48</v>
      </c>
    </row>
    <row r="8" spans="1:8" ht="15">
      <c r="A8" s="21" t="s">
        <v>241</v>
      </c>
      <c r="B8" s="21">
        <v>40568</v>
      </c>
      <c r="C8" s="21" t="s">
        <v>250</v>
      </c>
      <c r="D8" s="7" t="s">
        <v>251</v>
      </c>
      <c r="E8" s="21" t="s">
        <v>40</v>
      </c>
      <c r="F8" s="23">
        <v>2</v>
      </c>
      <c r="G8" s="24">
        <v>10.25</v>
      </c>
      <c r="H8" s="24">
        <f t="shared" si="0"/>
        <v>20.5</v>
      </c>
    </row>
    <row r="9" spans="1:8" ht="45">
      <c r="A9" s="21" t="s">
        <v>241</v>
      </c>
      <c r="B9" s="21">
        <v>7173</v>
      </c>
      <c r="C9" s="21" t="s">
        <v>252</v>
      </c>
      <c r="D9" s="25" t="s">
        <v>253</v>
      </c>
      <c r="E9" s="21" t="s">
        <v>254</v>
      </c>
      <c r="F9" s="23" t="e">
        <f>ROUNDUP((26*#REF!),0)</f>
        <v>#REF!</v>
      </c>
      <c r="G9" s="24">
        <f>686/1000</f>
        <v>0.686</v>
      </c>
      <c r="H9" s="24" t="e">
        <f t="shared" si="0"/>
        <v>#REF!</v>
      </c>
    </row>
    <row r="10" spans="1:8" ht="15">
      <c r="A10" s="534" t="s">
        <v>255</v>
      </c>
      <c r="B10" s="534"/>
      <c r="C10" s="534"/>
      <c r="D10" s="534"/>
      <c r="E10" s="534"/>
      <c r="F10" s="534"/>
      <c r="G10" s="534"/>
      <c r="H10" s="26" t="e">
        <f>SUM(H4:H9)</f>
        <v>#REF!</v>
      </c>
    </row>
    <row r="11" spans="1:8" ht="15">
      <c r="A11" s="4"/>
      <c r="B11" s="4"/>
      <c r="C11" s="4">
        <v>2</v>
      </c>
      <c r="D11" s="362" t="s">
        <v>256</v>
      </c>
      <c r="E11" s="362"/>
      <c r="F11" s="362"/>
      <c r="G11" s="362"/>
      <c r="H11" s="362"/>
    </row>
    <row r="12" spans="1:8" ht="30">
      <c r="A12" s="21" t="s">
        <v>241</v>
      </c>
      <c r="B12" s="21">
        <v>1013</v>
      </c>
      <c r="C12" s="27" t="s">
        <v>28</v>
      </c>
      <c r="D12" s="25" t="s">
        <v>257</v>
      </c>
      <c r="E12" s="21" t="s">
        <v>258</v>
      </c>
      <c r="F12" s="23" t="e">
        <f>#REF!</f>
        <v>#REF!</v>
      </c>
      <c r="G12" s="24">
        <v>0.81</v>
      </c>
      <c r="H12" s="24" t="e">
        <f aca="true" t="shared" si="1" ref="H12:H21">F12*G12</f>
        <v>#REF!</v>
      </c>
    </row>
    <row r="13" spans="1:8" ht="30">
      <c r="A13" s="21" t="s">
        <v>241</v>
      </c>
      <c r="B13" s="21">
        <v>1014</v>
      </c>
      <c r="C13" s="27" t="s">
        <v>29</v>
      </c>
      <c r="D13" s="25" t="s">
        <v>259</v>
      </c>
      <c r="E13" s="21" t="s">
        <v>258</v>
      </c>
      <c r="F13" s="23" t="e">
        <f>#REF!</f>
        <v>#REF!</v>
      </c>
      <c r="G13" s="24">
        <v>1.29</v>
      </c>
      <c r="H13" s="24" t="e">
        <f t="shared" si="1"/>
        <v>#REF!</v>
      </c>
    </row>
    <row r="14" spans="1:8" ht="30">
      <c r="A14" s="21" t="s">
        <v>241</v>
      </c>
      <c r="B14" s="21">
        <v>981</v>
      </c>
      <c r="C14" s="27" t="s">
        <v>260</v>
      </c>
      <c r="D14" s="25" t="s">
        <v>261</v>
      </c>
      <c r="E14" s="21" t="s">
        <v>258</v>
      </c>
      <c r="F14" s="23" t="e">
        <f>#REF!</f>
        <v>#REF!</v>
      </c>
      <c r="G14" s="24">
        <v>2.3</v>
      </c>
      <c r="H14" s="24" t="e">
        <f t="shared" si="1"/>
        <v>#REF!</v>
      </c>
    </row>
    <row r="15" spans="1:8" ht="30">
      <c r="A15" s="21" t="s">
        <v>241</v>
      </c>
      <c r="B15" s="21">
        <v>21127</v>
      </c>
      <c r="C15" s="27" t="s">
        <v>262</v>
      </c>
      <c r="D15" s="22" t="s">
        <v>263</v>
      </c>
      <c r="E15" s="21" t="s">
        <v>254</v>
      </c>
      <c r="F15" s="23">
        <v>3</v>
      </c>
      <c r="G15" s="24">
        <f>5*3.02</f>
        <v>15.1</v>
      </c>
      <c r="H15" s="24">
        <f t="shared" si="1"/>
        <v>45.3</v>
      </c>
    </row>
    <row r="16" spans="1:8" ht="30">
      <c r="A16" s="21" t="s">
        <v>241</v>
      </c>
      <c r="B16" s="21">
        <v>91946</v>
      </c>
      <c r="C16" s="27" t="s">
        <v>264</v>
      </c>
      <c r="D16" s="25" t="s">
        <v>265</v>
      </c>
      <c r="E16" s="21" t="s">
        <v>254</v>
      </c>
      <c r="F16" s="23" t="e">
        <f>#REF!</f>
        <v>#REF!</v>
      </c>
      <c r="G16" s="24">
        <v>5.62</v>
      </c>
      <c r="H16" s="24" t="e">
        <f t="shared" si="1"/>
        <v>#REF!</v>
      </c>
    </row>
    <row r="17" spans="1:8" ht="30">
      <c r="A17" s="21" t="s">
        <v>241</v>
      </c>
      <c r="B17" s="21">
        <v>91952</v>
      </c>
      <c r="C17" s="27" t="s">
        <v>266</v>
      </c>
      <c r="D17" s="25" t="s">
        <v>267</v>
      </c>
      <c r="E17" s="21" t="s">
        <v>254</v>
      </c>
      <c r="F17" s="23" t="e">
        <f>F16</f>
        <v>#REF!</v>
      </c>
      <c r="G17" s="24">
        <v>12.35</v>
      </c>
      <c r="H17" s="24" t="e">
        <f t="shared" si="1"/>
        <v>#REF!</v>
      </c>
    </row>
    <row r="18" spans="1:8" ht="30">
      <c r="A18" s="21" t="s">
        <v>241</v>
      </c>
      <c r="B18" s="21">
        <v>91946</v>
      </c>
      <c r="C18" s="27" t="s">
        <v>268</v>
      </c>
      <c r="D18" s="25" t="s">
        <v>265</v>
      </c>
      <c r="E18" s="21" t="s">
        <v>254</v>
      </c>
      <c r="F18" s="23" t="e">
        <f>#REF!</f>
        <v>#REF!</v>
      </c>
      <c r="G18" s="24">
        <v>5.62</v>
      </c>
      <c r="H18" s="24" t="e">
        <f t="shared" si="1"/>
        <v>#REF!</v>
      </c>
    </row>
    <row r="19" spans="1:8" ht="30">
      <c r="A19" s="21" t="s">
        <v>241</v>
      </c>
      <c r="B19" s="21">
        <v>91998</v>
      </c>
      <c r="C19" s="27" t="s">
        <v>269</v>
      </c>
      <c r="D19" s="25" t="s">
        <v>270</v>
      </c>
      <c r="E19" s="21" t="s">
        <v>254</v>
      </c>
      <c r="F19" s="23" t="e">
        <f>F18</f>
        <v>#REF!</v>
      </c>
      <c r="G19" s="24">
        <v>13.4</v>
      </c>
      <c r="H19" s="24" t="e">
        <f t="shared" si="1"/>
        <v>#REF!</v>
      </c>
    </row>
    <row r="20" spans="1:8" ht="15">
      <c r="A20" s="21" t="s">
        <v>241</v>
      </c>
      <c r="B20" s="21">
        <v>38781</v>
      </c>
      <c r="C20" s="27" t="s">
        <v>271</v>
      </c>
      <c r="D20" s="7" t="s">
        <v>272</v>
      </c>
      <c r="E20" s="21" t="s">
        <v>254</v>
      </c>
      <c r="F20" s="23" t="e">
        <f>#REF!</f>
        <v>#REF!</v>
      </c>
      <c r="G20" s="24">
        <v>37.41</v>
      </c>
      <c r="H20" s="24" t="e">
        <f t="shared" si="1"/>
        <v>#REF!</v>
      </c>
    </row>
    <row r="21" spans="1:8" ht="30">
      <c r="A21" s="21" t="s">
        <v>241</v>
      </c>
      <c r="B21" s="21">
        <v>38773</v>
      </c>
      <c r="C21" s="27" t="s">
        <v>273</v>
      </c>
      <c r="D21" s="25" t="s">
        <v>274</v>
      </c>
      <c r="E21" s="21" t="s">
        <v>254</v>
      </c>
      <c r="F21" s="23" t="e">
        <f>F20</f>
        <v>#REF!</v>
      </c>
      <c r="G21" s="24">
        <v>3.19</v>
      </c>
      <c r="H21" s="24" t="e">
        <f t="shared" si="1"/>
        <v>#REF!</v>
      </c>
    </row>
    <row r="22" spans="1:8" ht="15">
      <c r="A22" s="534" t="s">
        <v>255</v>
      </c>
      <c r="B22" s="534"/>
      <c r="C22" s="534"/>
      <c r="D22" s="534"/>
      <c r="E22" s="534"/>
      <c r="F22" s="534"/>
      <c r="G22" s="534"/>
      <c r="H22" s="26" t="e">
        <f>SUM(H12:H21)</f>
        <v>#REF!</v>
      </c>
    </row>
    <row r="23" spans="1:8" ht="15">
      <c r="A23" s="4"/>
      <c r="B23" s="4"/>
      <c r="C23" s="4">
        <v>3</v>
      </c>
      <c r="D23" s="362" t="s">
        <v>275</v>
      </c>
      <c r="E23" s="362"/>
      <c r="F23" s="362"/>
      <c r="G23" s="362"/>
      <c r="H23" s="362"/>
    </row>
    <row r="24" spans="1:8" ht="15">
      <c r="A24" s="21" t="s">
        <v>241</v>
      </c>
      <c r="B24" s="21">
        <v>11739</v>
      </c>
      <c r="C24" s="27" t="s">
        <v>31</v>
      </c>
      <c r="D24" s="7" t="s">
        <v>276</v>
      </c>
      <c r="E24" s="21" t="s">
        <v>254</v>
      </c>
      <c r="F24" s="23" t="e">
        <f>#REF!</f>
        <v>#REF!</v>
      </c>
      <c r="G24" s="28">
        <v>5.18</v>
      </c>
      <c r="H24" s="28" t="e">
        <f aca="true" t="shared" si="2" ref="H24:H25">F24*G24</f>
        <v>#REF!</v>
      </c>
    </row>
    <row r="25" spans="1:8" ht="15">
      <c r="A25" s="21" t="s">
        <v>241</v>
      </c>
      <c r="B25" s="21">
        <v>5103</v>
      </c>
      <c r="C25" s="27" t="s">
        <v>32</v>
      </c>
      <c r="D25" s="7" t="s">
        <v>277</v>
      </c>
      <c r="E25" s="21" t="s">
        <v>254</v>
      </c>
      <c r="F25" s="23" t="e">
        <f>F24</f>
        <v>#REF!</v>
      </c>
      <c r="G25" s="28">
        <v>10.37</v>
      </c>
      <c r="H25" s="28" t="e">
        <f t="shared" si="2"/>
        <v>#REF!</v>
      </c>
    </row>
    <row r="26" spans="1:8" ht="15">
      <c r="A26" s="534" t="s">
        <v>255</v>
      </c>
      <c r="B26" s="534"/>
      <c r="C26" s="534"/>
      <c r="D26" s="534"/>
      <c r="E26" s="534"/>
      <c r="F26" s="534"/>
      <c r="G26" s="534"/>
      <c r="H26" s="26" t="e">
        <f>SUM(H21:H25)</f>
        <v>#REF!</v>
      </c>
    </row>
    <row r="27" spans="1:8" ht="15">
      <c r="A27" s="4"/>
      <c r="B27" s="4"/>
      <c r="C27" s="4">
        <v>4</v>
      </c>
      <c r="D27" s="362" t="s">
        <v>278</v>
      </c>
      <c r="E27" s="362"/>
      <c r="F27" s="362"/>
      <c r="G27" s="362"/>
      <c r="H27" s="362"/>
    </row>
    <row r="28" spans="1:8" ht="30">
      <c r="A28" s="21" t="s">
        <v>241</v>
      </c>
      <c r="B28" s="21">
        <v>7608</v>
      </c>
      <c r="C28" s="21" t="s">
        <v>279</v>
      </c>
      <c r="D28" s="25" t="s">
        <v>280</v>
      </c>
      <c r="E28" s="21" t="s">
        <v>254</v>
      </c>
      <c r="F28" s="23" t="e">
        <f>#REF!</f>
        <v>#REF!</v>
      </c>
      <c r="G28" s="24">
        <v>9.15</v>
      </c>
      <c r="H28" s="24" t="e">
        <f>F28*G28</f>
        <v>#REF!</v>
      </c>
    </row>
    <row r="29" spans="1:8" ht="30">
      <c r="A29" s="21" t="s">
        <v>281</v>
      </c>
      <c r="B29" s="21"/>
      <c r="C29" s="21" t="s">
        <v>282</v>
      </c>
      <c r="D29" s="25" t="s">
        <v>283</v>
      </c>
      <c r="E29" s="21" t="s">
        <v>254</v>
      </c>
      <c r="F29" s="23" t="e">
        <f>#REF!</f>
        <v>#REF!</v>
      </c>
      <c r="G29" s="29">
        <v>31.39</v>
      </c>
      <c r="H29" s="24" t="e">
        <f aca="true" t="shared" si="3" ref="H29:H31">F29*G29</f>
        <v>#REF!</v>
      </c>
    </row>
    <row r="30" spans="1:8" ht="30">
      <c r="A30" s="21" t="s">
        <v>281</v>
      </c>
      <c r="B30" s="21"/>
      <c r="C30" s="21" t="s">
        <v>284</v>
      </c>
      <c r="D30" s="22" t="s">
        <v>285</v>
      </c>
      <c r="E30" s="21" t="s">
        <v>254</v>
      </c>
      <c r="F30" s="23" t="e">
        <f>#REF!</f>
        <v>#REF!</v>
      </c>
      <c r="G30" s="29">
        <v>7.6</v>
      </c>
      <c r="H30" s="24" t="e">
        <f t="shared" si="3"/>
        <v>#REF!</v>
      </c>
    </row>
    <row r="31" spans="1:8" ht="30">
      <c r="A31" s="21" t="s">
        <v>281</v>
      </c>
      <c r="B31" s="21"/>
      <c r="C31" s="21" t="s">
        <v>286</v>
      </c>
      <c r="D31" s="25" t="s">
        <v>287</v>
      </c>
      <c r="E31" s="21" t="s">
        <v>254</v>
      </c>
      <c r="F31" s="23" t="e">
        <f>#REF!</f>
        <v>#REF!</v>
      </c>
      <c r="G31" s="29">
        <v>161</v>
      </c>
      <c r="H31" s="29" t="e">
        <f t="shared" si="3"/>
        <v>#REF!</v>
      </c>
    </row>
    <row r="32" spans="1:8" ht="15">
      <c r="A32" s="534" t="s">
        <v>255</v>
      </c>
      <c r="B32" s="534"/>
      <c r="C32" s="534"/>
      <c r="D32" s="534"/>
      <c r="E32" s="534"/>
      <c r="F32" s="534"/>
      <c r="G32" s="534"/>
      <c r="H32" s="26" t="e">
        <f>SUM(H28:H31)</f>
        <v>#REF!</v>
      </c>
    </row>
    <row r="33" spans="1:8" ht="15">
      <c r="A33" s="4"/>
      <c r="B33" s="4"/>
      <c r="C33" s="4">
        <v>5</v>
      </c>
      <c r="D33" s="362" t="s">
        <v>288</v>
      </c>
      <c r="E33" s="362"/>
      <c r="F33" s="362"/>
      <c r="G33" s="362"/>
      <c r="H33" s="362"/>
    </row>
    <row r="34" spans="1:8" ht="15">
      <c r="A34" s="21" t="s">
        <v>241</v>
      </c>
      <c r="B34" s="21"/>
      <c r="C34" s="21" t="s">
        <v>289</v>
      </c>
      <c r="D34" s="7" t="s">
        <v>290</v>
      </c>
      <c r="E34" s="21" t="s">
        <v>291</v>
      </c>
      <c r="F34" s="23">
        <v>2</v>
      </c>
      <c r="G34" s="28">
        <f>5.56*18</f>
        <v>100.08</v>
      </c>
      <c r="H34" s="28">
        <f>F34*G34</f>
        <v>200.16</v>
      </c>
    </row>
    <row r="35" spans="1:8" ht="15">
      <c r="A35" s="21" t="s">
        <v>241</v>
      </c>
      <c r="B35" s="21"/>
      <c r="C35" s="21" t="s">
        <v>292</v>
      </c>
      <c r="D35" s="7" t="s">
        <v>293</v>
      </c>
      <c r="E35" s="21" t="s">
        <v>291</v>
      </c>
      <c r="F35" s="23">
        <v>6</v>
      </c>
      <c r="G35" s="28">
        <v>126.7</v>
      </c>
      <c r="H35" s="28">
        <f>F35*G35</f>
        <v>760.2</v>
      </c>
    </row>
    <row r="36" spans="1:8" ht="15">
      <c r="A36" s="21" t="s">
        <v>241</v>
      </c>
      <c r="B36" s="21"/>
      <c r="C36" s="21" t="s">
        <v>294</v>
      </c>
      <c r="D36" s="7" t="s">
        <v>295</v>
      </c>
      <c r="E36" s="21" t="s">
        <v>291</v>
      </c>
      <c r="F36" s="23">
        <v>2</v>
      </c>
      <c r="G36" s="28">
        <v>155.2</v>
      </c>
      <c r="H36" s="28">
        <f>F36*G36</f>
        <v>310.4</v>
      </c>
    </row>
    <row r="37" spans="1:8" ht="15">
      <c r="A37" s="21" t="s">
        <v>241</v>
      </c>
      <c r="B37" s="21"/>
      <c r="C37" s="21" t="s">
        <v>296</v>
      </c>
      <c r="D37" s="7" t="s">
        <v>297</v>
      </c>
      <c r="E37" s="21" t="s">
        <v>254</v>
      </c>
      <c r="F37" s="23">
        <v>30</v>
      </c>
      <c r="G37" s="28">
        <v>0.4</v>
      </c>
      <c r="H37" s="28">
        <f>F37*G37</f>
        <v>12</v>
      </c>
    </row>
    <row r="38" spans="1:8" ht="15">
      <c r="A38" s="534" t="s">
        <v>255</v>
      </c>
      <c r="B38" s="534"/>
      <c r="C38" s="534"/>
      <c r="D38" s="534"/>
      <c r="E38" s="534"/>
      <c r="F38" s="534"/>
      <c r="G38" s="534"/>
      <c r="H38" s="26">
        <f>SUM(H34:H37)</f>
        <v>1282.76</v>
      </c>
    </row>
    <row r="39" spans="1:8" ht="15">
      <c r="A39" s="4"/>
      <c r="B39" s="4"/>
      <c r="C39" s="4">
        <v>6</v>
      </c>
      <c r="D39" s="362" t="s">
        <v>298</v>
      </c>
      <c r="E39" s="362"/>
      <c r="F39" s="362"/>
      <c r="G39" s="362"/>
      <c r="H39" s="362"/>
    </row>
    <row r="40" spans="1:8" ht="45">
      <c r="A40" s="21" t="s">
        <v>241</v>
      </c>
      <c r="B40" s="21"/>
      <c r="C40" s="21" t="s">
        <v>55</v>
      </c>
      <c r="D40" s="25" t="s">
        <v>299</v>
      </c>
      <c r="E40" s="21" t="s">
        <v>254</v>
      </c>
      <c r="F40" s="23" t="e">
        <f>#REF!</f>
        <v>#REF!</v>
      </c>
      <c r="G40" s="24">
        <v>357.56</v>
      </c>
      <c r="H40" s="24" t="e">
        <f>F40*G40</f>
        <v>#REF!</v>
      </c>
    </row>
    <row r="41" spans="1:8" ht="15">
      <c r="A41" s="534" t="s">
        <v>255</v>
      </c>
      <c r="B41" s="534"/>
      <c r="C41" s="534"/>
      <c r="D41" s="534"/>
      <c r="E41" s="534"/>
      <c r="F41" s="534"/>
      <c r="G41" s="534"/>
      <c r="H41" s="26" t="e">
        <f>SUM(H40:H40)</f>
        <v>#REF!</v>
      </c>
    </row>
    <row r="42" spans="1:8" ht="30.6" customHeight="1">
      <c r="A42" s="535" t="s">
        <v>300</v>
      </c>
      <c r="B42" s="535"/>
      <c r="C42" s="535"/>
      <c r="D42" s="535"/>
      <c r="E42" s="535"/>
      <c r="F42" s="535"/>
      <c r="G42" s="536"/>
      <c r="H42" s="30" t="e">
        <f>SUM(H41,H38,H32,H26,H22,H10)</f>
        <v>#REF!</v>
      </c>
    </row>
    <row r="43" spans="7:8" ht="15">
      <c r="G43" s="31"/>
      <c r="H43" s="31"/>
    </row>
    <row r="44" spans="7:8" ht="15">
      <c r="G44" s="31"/>
      <c r="H44" s="31"/>
    </row>
    <row r="45" spans="7:8" ht="15">
      <c r="G45" s="31"/>
      <c r="H45" s="31"/>
    </row>
  </sheetData>
  <mergeCells count="14">
    <mergeCell ref="A1:H1"/>
    <mergeCell ref="D3:H3"/>
    <mergeCell ref="A10:G10"/>
    <mergeCell ref="D11:H11"/>
    <mergeCell ref="A22:G22"/>
    <mergeCell ref="A38:G38"/>
    <mergeCell ref="D39:H39"/>
    <mergeCell ref="A41:G41"/>
    <mergeCell ref="A42:G42"/>
    <mergeCell ref="D23:H23"/>
    <mergeCell ref="A26:G26"/>
    <mergeCell ref="D27:H27"/>
    <mergeCell ref="A32:G32"/>
    <mergeCell ref="D33:H33"/>
  </mergeCells>
  <printOptions/>
  <pageMargins left="0.511811024" right="0.511811024" top="0.787401575" bottom="0.787401575" header="0.31496062" footer="0.31496062"/>
  <pageSetup fitToHeight="0" fitToWidth="1" horizontalDpi="360" verticalDpi="36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6"/>
  <sheetViews>
    <sheetView workbookViewId="0" topLeftCell="A1">
      <selection activeCell="H16" sqref="H16"/>
    </sheetView>
  </sheetViews>
  <sheetFormatPr defaultColWidth="9.00390625" defaultRowHeight="15"/>
  <cols>
    <col min="1" max="1" width="29.28125" style="0" customWidth="1"/>
    <col min="2" max="2" width="14.140625" style="1" customWidth="1"/>
    <col min="3" max="3" width="9.7109375" style="0" customWidth="1"/>
    <col min="4" max="4" width="9.8515625" style="0" customWidth="1"/>
    <col min="5" max="5" width="10.8515625" style="0" customWidth="1"/>
    <col min="6" max="6" width="11.7109375" style="0" customWidth="1"/>
    <col min="7" max="7" width="10.00390625" style="0" customWidth="1"/>
  </cols>
  <sheetData>
    <row r="1" spans="1:8" ht="15">
      <c r="A1" s="2"/>
      <c r="B1" s="3" t="s">
        <v>152</v>
      </c>
      <c r="C1" s="4" t="s">
        <v>301</v>
      </c>
      <c r="D1" s="4" t="s">
        <v>302</v>
      </c>
      <c r="E1" s="4" t="s">
        <v>155</v>
      </c>
      <c r="F1" s="4" t="s">
        <v>236</v>
      </c>
      <c r="G1" s="4" t="s">
        <v>188</v>
      </c>
      <c r="H1" s="4" t="s">
        <v>303</v>
      </c>
    </row>
    <row r="2" spans="1:8" ht="15">
      <c r="A2" s="5" t="s">
        <v>304</v>
      </c>
      <c r="B2" s="6">
        <v>6.87</v>
      </c>
      <c r="C2" s="6">
        <v>3.7</v>
      </c>
      <c r="D2" s="6">
        <f aca="true" t="shared" si="0" ref="D2:D17">0.9*2.1</f>
        <v>1.8900000000000001</v>
      </c>
      <c r="E2" s="6">
        <f>B2*C2</f>
        <v>25.419</v>
      </c>
      <c r="F2" s="6">
        <v>55.188</v>
      </c>
      <c r="G2" s="7">
        <f>((2*12.45)*2.7)-(6*1*1.5)</f>
        <v>58.230000000000004</v>
      </c>
      <c r="H2" s="7"/>
    </row>
    <row r="3" spans="1:8" ht="15">
      <c r="A3" s="5" t="s">
        <v>305</v>
      </c>
      <c r="B3" s="6">
        <v>3.84</v>
      </c>
      <c r="C3" s="6">
        <v>3.7</v>
      </c>
      <c r="D3" s="6">
        <f t="shared" si="0"/>
        <v>1.8900000000000001</v>
      </c>
      <c r="E3" s="6">
        <f aca="true" t="shared" si="1" ref="E3:E24">B3*C3</f>
        <v>14.208</v>
      </c>
      <c r="F3" s="6">
        <f aca="true" t="shared" si="2" ref="F3:F19">2.7*(2*B3+2*C3)-D3</f>
        <v>38.826</v>
      </c>
      <c r="G3" s="7">
        <f>((2*16.41)*2.7)-5*(1*1.5)+2*(0.6*0.6)</f>
        <v>81.834</v>
      </c>
      <c r="H3" s="7"/>
    </row>
    <row r="4" spans="1:8" ht="15">
      <c r="A4" s="5" t="s">
        <v>306</v>
      </c>
      <c r="B4" s="6">
        <v>2.09</v>
      </c>
      <c r="C4" s="6">
        <v>1.15</v>
      </c>
      <c r="D4" s="6">
        <f t="shared" si="0"/>
        <v>1.8900000000000001</v>
      </c>
      <c r="E4" s="6">
        <f t="shared" si="1"/>
        <v>2.4034999999999997</v>
      </c>
      <c r="F4" s="6">
        <f t="shared" si="2"/>
        <v>15.605999999999998</v>
      </c>
      <c r="G4" s="7"/>
      <c r="H4" s="7"/>
    </row>
    <row r="5" spans="1:8" ht="15">
      <c r="A5" s="5" t="s">
        <v>307</v>
      </c>
      <c r="B5" s="6">
        <v>1.91</v>
      </c>
      <c r="C5" s="6">
        <v>1.15</v>
      </c>
      <c r="D5" s="6">
        <f t="shared" si="0"/>
        <v>1.8900000000000001</v>
      </c>
      <c r="E5" s="6">
        <f t="shared" si="1"/>
        <v>2.1965</v>
      </c>
      <c r="F5" s="6">
        <f t="shared" si="2"/>
        <v>14.633999999999997</v>
      </c>
      <c r="G5" s="7"/>
      <c r="H5" s="8">
        <v>16.524</v>
      </c>
    </row>
    <row r="6" spans="1:8" ht="15">
      <c r="A6" s="5" t="s">
        <v>308</v>
      </c>
      <c r="B6" s="6">
        <v>3.2</v>
      </c>
      <c r="C6" s="6">
        <v>4.04</v>
      </c>
      <c r="D6" s="6">
        <f t="shared" si="0"/>
        <v>1.8900000000000001</v>
      </c>
      <c r="E6" s="6">
        <f t="shared" si="1"/>
        <v>12.928</v>
      </c>
      <c r="F6" s="6">
        <f t="shared" si="2"/>
        <v>37.206</v>
      </c>
      <c r="G6" s="7"/>
      <c r="H6" s="7"/>
    </row>
    <row r="7" spans="1:8" ht="15">
      <c r="A7" s="5" t="s">
        <v>309</v>
      </c>
      <c r="B7" s="6"/>
      <c r="C7" s="6"/>
      <c r="D7" s="6">
        <f t="shared" si="0"/>
        <v>1.8900000000000001</v>
      </c>
      <c r="E7" s="6">
        <v>10.15</v>
      </c>
      <c r="F7" s="6">
        <f>E7*2</f>
        <v>20.3</v>
      </c>
      <c r="G7" s="7"/>
      <c r="H7" s="7"/>
    </row>
    <row r="8" spans="1:8" ht="15">
      <c r="A8" s="5" t="s">
        <v>310</v>
      </c>
      <c r="B8" s="6">
        <v>1.37</v>
      </c>
      <c r="C8" s="6">
        <v>1.86</v>
      </c>
      <c r="D8" s="6">
        <f t="shared" si="0"/>
        <v>1.8900000000000001</v>
      </c>
      <c r="E8" s="6">
        <f t="shared" si="1"/>
        <v>2.5482000000000005</v>
      </c>
      <c r="F8" s="6">
        <f t="shared" si="2"/>
        <v>15.552000000000003</v>
      </c>
      <c r="G8" s="7"/>
      <c r="H8" s="9">
        <f>2*(B8+C8)*2.7</f>
        <v>17.442000000000004</v>
      </c>
    </row>
    <row r="9" spans="1:8" ht="15">
      <c r="A9" s="5" t="s">
        <v>311</v>
      </c>
      <c r="B9" s="6">
        <v>3.2</v>
      </c>
      <c r="C9" s="6">
        <v>1.91</v>
      </c>
      <c r="D9" s="6">
        <f t="shared" si="0"/>
        <v>1.8900000000000001</v>
      </c>
      <c r="E9" s="6">
        <f t="shared" si="1"/>
        <v>6.112</v>
      </c>
      <c r="F9" s="6">
        <f t="shared" si="2"/>
        <v>25.704000000000004</v>
      </c>
      <c r="G9" s="7"/>
      <c r="H9" s="9"/>
    </row>
    <row r="10" spans="1:13" ht="15">
      <c r="A10" s="5" t="s">
        <v>312</v>
      </c>
      <c r="B10" s="6">
        <v>3.03</v>
      </c>
      <c r="C10" s="6">
        <v>1.91</v>
      </c>
      <c r="D10" s="6">
        <f t="shared" si="0"/>
        <v>1.8900000000000001</v>
      </c>
      <c r="E10" s="6">
        <f t="shared" si="1"/>
        <v>5.787299999999999</v>
      </c>
      <c r="F10" s="6">
        <f t="shared" si="2"/>
        <v>24.785999999999998</v>
      </c>
      <c r="G10" s="7"/>
      <c r="H10" s="7"/>
      <c r="M10">
        <f>2.74*12.45</f>
        <v>34.113</v>
      </c>
    </row>
    <row r="11" spans="1:8" ht="15">
      <c r="A11" s="5" t="s">
        <v>313</v>
      </c>
      <c r="B11" s="6">
        <v>5.11</v>
      </c>
      <c r="C11" s="6">
        <v>3.2</v>
      </c>
      <c r="D11" s="6">
        <f t="shared" si="0"/>
        <v>1.8900000000000001</v>
      </c>
      <c r="E11" s="6">
        <f t="shared" si="1"/>
        <v>16.352</v>
      </c>
      <c r="F11" s="6">
        <f t="shared" si="2"/>
        <v>42.984</v>
      </c>
      <c r="G11" s="7"/>
      <c r="H11" s="7"/>
    </row>
    <row r="12" spans="1:8" ht="15">
      <c r="A12" s="5" t="s">
        <v>308</v>
      </c>
      <c r="B12" s="6">
        <v>3.03</v>
      </c>
      <c r="C12" s="6">
        <v>4.05</v>
      </c>
      <c r="D12" s="6">
        <f t="shared" si="0"/>
        <v>1.8900000000000001</v>
      </c>
      <c r="E12" s="6">
        <f t="shared" si="1"/>
        <v>12.271499999999998</v>
      </c>
      <c r="F12" s="6">
        <f t="shared" si="2"/>
        <v>36.342000000000006</v>
      </c>
      <c r="G12" s="7"/>
      <c r="H12" s="7"/>
    </row>
    <row r="13" spans="1:8" ht="15">
      <c r="A13" s="5" t="s">
        <v>314</v>
      </c>
      <c r="B13" s="6">
        <v>3</v>
      </c>
      <c r="C13" s="6">
        <v>3.2</v>
      </c>
      <c r="D13" s="6">
        <f t="shared" si="0"/>
        <v>1.8900000000000001</v>
      </c>
      <c r="E13" s="6">
        <f t="shared" si="1"/>
        <v>9.600000000000001</v>
      </c>
      <c r="F13" s="6">
        <f t="shared" si="2"/>
        <v>31.590000000000003</v>
      </c>
      <c r="G13" s="7"/>
      <c r="H13" s="7"/>
    </row>
    <row r="14" spans="1:8" ht="15">
      <c r="A14" s="5" t="s">
        <v>315</v>
      </c>
      <c r="B14" s="6">
        <v>3.17</v>
      </c>
      <c r="C14" s="6">
        <v>1.39</v>
      </c>
      <c r="D14" s="6">
        <f t="shared" si="0"/>
        <v>1.8900000000000001</v>
      </c>
      <c r="E14" s="6">
        <f t="shared" si="1"/>
        <v>4.4063</v>
      </c>
      <c r="F14" s="6">
        <f t="shared" si="2"/>
        <v>22.733999999999998</v>
      </c>
      <c r="G14" s="7"/>
      <c r="H14" s="7"/>
    </row>
    <row r="15" spans="1:8" ht="15">
      <c r="A15" s="5" t="s">
        <v>307</v>
      </c>
      <c r="B15" s="10">
        <v>1.19</v>
      </c>
      <c r="C15" s="10">
        <v>2.31</v>
      </c>
      <c r="D15" s="6">
        <f t="shared" si="0"/>
        <v>1.8900000000000001</v>
      </c>
      <c r="E15" s="6">
        <f t="shared" si="1"/>
        <v>2.7489</v>
      </c>
      <c r="F15" s="6">
        <f t="shared" si="2"/>
        <v>17.01</v>
      </c>
      <c r="G15" s="7"/>
      <c r="H15" s="9">
        <f>2*(B15+C15)*1.5</f>
        <v>10.5</v>
      </c>
    </row>
    <row r="16" spans="1:8" ht="15">
      <c r="A16" s="5" t="s">
        <v>307</v>
      </c>
      <c r="B16" s="6"/>
      <c r="C16" s="6"/>
      <c r="D16" s="6">
        <f t="shared" si="0"/>
        <v>1.8900000000000001</v>
      </c>
      <c r="E16" s="6">
        <v>3.13</v>
      </c>
      <c r="F16" s="6">
        <f t="shared" si="2"/>
        <v>-1.8900000000000001</v>
      </c>
      <c r="G16" s="7"/>
      <c r="H16" s="9">
        <f>2*E16</f>
        <v>6.26</v>
      </c>
    </row>
    <row r="17" spans="1:8" ht="15">
      <c r="A17" s="5" t="s">
        <v>186</v>
      </c>
      <c r="B17" s="6">
        <f>6.03+1.95+4.19</f>
        <v>12.170000000000002</v>
      </c>
      <c r="C17" s="6">
        <v>2</v>
      </c>
      <c r="D17" s="6">
        <f t="shared" si="0"/>
        <v>1.8900000000000001</v>
      </c>
      <c r="E17" s="6">
        <f t="shared" si="1"/>
        <v>24.340000000000003</v>
      </c>
      <c r="F17" s="6">
        <f t="shared" si="2"/>
        <v>74.62800000000001</v>
      </c>
      <c r="G17" s="7"/>
      <c r="H17" s="7"/>
    </row>
    <row r="18" spans="1:8" ht="15">
      <c r="A18" s="5" t="s">
        <v>186</v>
      </c>
      <c r="B18" s="6">
        <f>4.74+3.31</f>
        <v>8.05</v>
      </c>
      <c r="C18" s="6">
        <v>1.95</v>
      </c>
      <c r="D18" s="6">
        <f>10*(0.9*2.1)</f>
        <v>18.900000000000002</v>
      </c>
      <c r="E18" s="6">
        <f t="shared" si="1"/>
        <v>15.697500000000002</v>
      </c>
      <c r="F18" s="6">
        <f t="shared" si="2"/>
        <v>35.099999999999994</v>
      </c>
      <c r="G18" s="7"/>
      <c r="H18" s="7"/>
    </row>
    <row r="19" spans="1:8" ht="15">
      <c r="A19" s="5" t="s">
        <v>316</v>
      </c>
      <c r="B19" s="6">
        <v>3</v>
      </c>
      <c r="C19" s="6">
        <v>6.1</v>
      </c>
      <c r="D19" s="6"/>
      <c r="E19" s="6">
        <f t="shared" si="1"/>
        <v>18.299999999999997</v>
      </c>
      <c r="F19" s="6">
        <f t="shared" si="2"/>
        <v>49.14</v>
      </c>
      <c r="G19" s="7"/>
      <c r="H19" s="7"/>
    </row>
    <row r="20" spans="1:8" ht="15">
      <c r="A20" s="5"/>
      <c r="B20" s="6"/>
      <c r="C20" s="6"/>
      <c r="D20" s="6">
        <v>0</v>
      </c>
      <c r="E20" s="6">
        <f t="shared" si="1"/>
        <v>0</v>
      </c>
      <c r="F20" s="6">
        <f aca="true" t="shared" si="3" ref="F20:F24">2.7*(2*B20+2*C20)-E20</f>
        <v>0</v>
      </c>
      <c r="G20" s="7"/>
      <c r="H20" s="7"/>
    </row>
    <row r="21" spans="1:8" ht="15">
      <c r="A21" s="5"/>
      <c r="B21" s="6"/>
      <c r="C21" s="6"/>
      <c r="D21" s="6">
        <v>0</v>
      </c>
      <c r="E21" s="6">
        <f t="shared" si="1"/>
        <v>0</v>
      </c>
      <c r="F21" s="6">
        <f t="shared" si="3"/>
        <v>0</v>
      </c>
      <c r="G21" s="7"/>
      <c r="H21" s="7"/>
    </row>
    <row r="22" spans="1:8" ht="15">
      <c r="A22" s="5"/>
      <c r="B22" s="6"/>
      <c r="C22" s="6"/>
      <c r="D22" s="6">
        <f>0.7*2.1</f>
        <v>1.47</v>
      </c>
      <c r="E22" s="6">
        <f t="shared" si="1"/>
        <v>0</v>
      </c>
      <c r="F22" s="6">
        <f t="shared" si="3"/>
        <v>0</v>
      </c>
      <c r="G22" s="7"/>
      <c r="H22" s="7"/>
    </row>
    <row r="23" spans="1:8" ht="15">
      <c r="A23" s="5"/>
      <c r="B23" s="6"/>
      <c r="C23" s="6"/>
      <c r="D23" s="6">
        <f>0.7*2.1</f>
        <v>1.47</v>
      </c>
      <c r="E23" s="6">
        <f aca="true" t="shared" si="4" ref="E23">B23*C23</f>
        <v>0</v>
      </c>
      <c r="F23" s="6">
        <f t="shared" si="3"/>
        <v>0</v>
      </c>
      <c r="G23" s="7"/>
      <c r="H23" s="7"/>
    </row>
    <row r="24" spans="1:8" ht="15">
      <c r="A24" s="5"/>
      <c r="B24" s="6"/>
      <c r="C24" s="6"/>
      <c r="D24" s="6">
        <f>0.8*2.1</f>
        <v>1.6800000000000002</v>
      </c>
      <c r="E24" s="6">
        <f t="shared" si="1"/>
        <v>0</v>
      </c>
      <c r="F24" s="6">
        <f t="shared" si="3"/>
        <v>0</v>
      </c>
      <c r="G24" s="7"/>
      <c r="H24" s="7"/>
    </row>
    <row r="25" spans="1:8" ht="15">
      <c r="A25" s="5"/>
      <c r="B25" s="11"/>
      <c r="C25" s="11"/>
      <c r="D25" s="11"/>
      <c r="E25" s="11">
        <f>SUM(E2:E24)</f>
        <v>188.5987</v>
      </c>
      <c r="F25" s="11">
        <f>SUM(F2:F8,F11:F13,F15,F17:F21)</f>
        <v>484.1060000000001</v>
      </c>
      <c r="G25" s="12">
        <f>SUM(G2:G24)</f>
        <v>140.06400000000002</v>
      </c>
      <c r="H25" s="13">
        <f>SUM(H2:H24)</f>
        <v>50.726000000000006</v>
      </c>
    </row>
    <row r="26" ht="15">
      <c r="G26" s="14">
        <f>F25+G25</f>
        <v>624.1700000000001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7:O31"/>
  <sheetViews>
    <sheetView tabSelected="1" view="pageBreakPreview" zoomScale="86" zoomScaleSheetLayoutView="86" workbookViewId="0" topLeftCell="A1">
      <selection activeCell="C9" sqref="C9:D9"/>
    </sheetView>
  </sheetViews>
  <sheetFormatPr defaultColWidth="9.00390625" defaultRowHeight="15"/>
  <cols>
    <col min="1" max="1" width="14.140625" style="0" customWidth="1"/>
    <col min="2" max="2" width="10.8515625" style="0" hidden="1" customWidth="1"/>
    <col min="3" max="3" width="7.421875" style="96" hidden="1" customWidth="1"/>
    <col min="4" max="4" width="63.7109375" style="179" customWidth="1"/>
    <col min="5" max="5" width="10.7109375" style="0" customWidth="1"/>
    <col min="6" max="6" width="16.7109375" style="0" customWidth="1"/>
    <col min="7" max="7" width="20.421875" style="17" customWidth="1"/>
    <col min="8" max="8" width="21.8515625" style="17" customWidth="1"/>
    <col min="9" max="9" width="23.28125" style="0" customWidth="1"/>
    <col min="10" max="10" width="12.7109375" style="0" customWidth="1"/>
    <col min="11" max="11" width="9.00390625" style="0" hidden="1" customWidth="1"/>
    <col min="12" max="13" width="17.28125" style="0" customWidth="1"/>
    <col min="14" max="14" width="15.28125" style="0" customWidth="1"/>
  </cols>
  <sheetData>
    <row r="7" spans="1:9" ht="19.9" customHeight="1">
      <c r="A7" s="372" t="s">
        <v>10</v>
      </c>
      <c r="B7" s="373"/>
      <c r="C7" s="374" t="s">
        <v>317</v>
      </c>
      <c r="D7" s="374"/>
      <c r="E7" s="375" t="s">
        <v>0</v>
      </c>
      <c r="F7" s="376"/>
      <c r="G7" s="377"/>
      <c r="H7" s="378">
        <f>I24</f>
        <v>324823.95000000007</v>
      </c>
      <c r="I7" s="379"/>
    </row>
    <row r="8" spans="1:9" ht="42" customHeight="1">
      <c r="A8" s="361" t="s">
        <v>1</v>
      </c>
      <c r="B8" s="362"/>
      <c r="C8" s="380" t="str">
        <f>Resumo!C3</f>
        <v xml:space="preserve">SERVIÇO DE APLICAÇÃO E COMPACTAÇÃO DE MASSA ASFÁLTICA (CBUQ) EM OPERAÇÃO PARA TAPA BURACOS, COM FORNECIMENTO DE MATERIAL. </v>
      </c>
      <c r="D8" s="380"/>
      <c r="E8" s="381" t="s">
        <v>11</v>
      </c>
      <c r="F8" s="382"/>
      <c r="G8" s="383"/>
      <c r="H8" s="380" t="s">
        <v>12</v>
      </c>
      <c r="I8" s="384"/>
    </row>
    <row r="9" spans="1:10" ht="29.45" customHeight="1">
      <c r="A9" s="361" t="s">
        <v>13</v>
      </c>
      <c r="B9" s="362"/>
      <c r="C9" s="363" t="str">
        <f>Resumo!C4</f>
        <v>OURÉM PA</v>
      </c>
      <c r="D9" s="363"/>
      <c r="E9" s="364" t="s">
        <v>3</v>
      </c>
      <c r="F9" s="365"/>
      <c r="G9" s="366"/>
      <c r="H9" s="367">
        <f>'BDI Não Deson.'!I25</f>
        <v>0.25</v>
      </c>
      <c r="I9" s="368"/>
      <c r="J9" s="182"/>
    </row>
    <row r="10" spans="1:9" ht="4.15" customHeight="1">
      <c r="A10" s="369"/>
      <c r="B10" s="370"/>
      <c r="C10" s="370"/>
      <c r="D10" s="370"/>
      <c r="E10" s="370"/>
      <c r="F10" s="370"/>
      <c r="G10" s="370"/>
      <c r="H10" s="370"/>
      <c r="I10" s="371"/>
    </row>
    <row r="11" spans="1:15" ht="19.15" customHeight="1" thickBot="1">
      <c r="A11" s="349" t="s">
        <v>14</v>
      </c>
      <c r="B11" s="350"/>
      <c r="C11" s="350"/>
      <c r="D11" s="350"/>
      <c r="E11" s="350"/>
      <c r="F11" s="350"/>
      <c r="G11" s="350"/>
      <c r="H11" s="350"/>
      <c r="I11" s="351"/>
      <c r="J11" s="236">
        <v>1.25</v>
      </c>
      <c r="K11" s="15" t="s">
        <v>3</v>
      </c>
      <c r="O11" s="15"/>
    </row>
    <row r="12" spans="1:15" ht="15.75">
      <c r="A12" s="189" t="s">
        <v>15</v>
      </c>
      <c r="B12" s="190" t="s">
        <v>16</v>
      </c>
      <c r="C12" s="190" t="s">
        <v>17</v>
      </c>
      <c r="D12" s="191" t="s">
        <v>18</v>
      </c>
      <c r="E12" s="190" t="s">
        <v>19</v>
      </c>
      <c r="F12" s="190" t="s">
        <v>20</v>
      </c>
      <c r="G12" s="192" t="s">
        <v>21</v>
      </c>
      <c r="H12" s="192" t="s">
        <v>22</v>
      </c>
      <c r="I12" s="209" t="s">
        <v>23</v>
      </c>
      <c r="K12" s="183">
        <f>1.2509</f>
        <v>1.2509</v>
      </c>
      <c r="L12" s="15" t="s">
        <v>21</v>
      </c>
      <c r="M12" s="15" t="s">
        <v>22</v>
      </c>
      <c r="N12" s="15" t="s">
        <v>23</v>
      </c>
      <c r="O12" s="15"/>
    </row>
    <row r="13" spans="1:15" ht="15.75">
      <c r="A13" s="259">
        <v>1</v>
      </c>
      <c r="B13" s="193"/>
      <c r="C13" s="194">
        <v>1</v>
      </c>
      <c r="D13" s="195" t="s">
        <v>24</v>
      </c>
      <c r="E13" s="195"/>
      <c r="F13" s="195"/>
      <c r="G13" s="196"/>
      <c r="H13" s="196"/>
      <c r="I13" s="210"/>
      <c r="K13" s="183"/>
      <c r="L13" s="15"/>
      <c r="M13" s="15"/>
      <c r="N13" s="184"/>
      <c r="O13" s="15"/>
    </row>
    <row r="14" spans="1:15" ht="15.75">
      <c r="A14" s="197" t="s">
        <v>25</v>
      </c>
      <c r="B14" s="198">
        <v>11340</v>
      </c>
      <c r="C14" s="198" t="s">
        <v>25</v>
      </c>
      <c r="D14" s="232" t="s">
        <v>320</v>
      </c>
      <c r="E14" s="233" t="s">
        <v>321</v>
      </c>
      <c r="F14" s="234">
        <v>1</v>
      </c>
      <c r="G14" s="235">
        <v>11943</v>
      </c>
      <c r="H14" s="235">
        <f>ROUND((G14*$J$11),2)</f>
        <v>14928.75</v>
      </c>
      <c r="I14" s="260">
        <f>H14*F14</f>
        <v>14928.75</v>
      </c>
      <c r="K14" s="183"/>
      <c r="L14" s="15">
        <v>161.08</v>
      </c>
      <c r="M14" s="15">
        <v>201.494972</v>
      </c>
      <c r="N14" s="184">
        <v>906.727374</v>
      </c>
      <c r="O14" s="15"/>
    </row>
    <row r="15" spans="1:14" ht="15.75">
      <c r="A15" s="352" t="s">
        <v>26</v>
      </c>
      <c r="B15" s="353"/>
      <c r="C15" s="353"/>
      <c r="D15" s="353"/>
      <c r="E15" s="353"/>
      <c r="F15" s="353"/>
      <c r="G15" s="353"/>
      <c r="H15" s="354"/>
      <c r="I15" s="211">
        <f>I14</f>
        <v>14928.75</v>
      </c>
      <c r="K15" s="183"/>
      <c r="M15" s="185" t="s">
        <v>27</v>
      </c>
      <c r="N15" s="186">
        <v>906.727374</v>
      </c>
    </row>
    <row r="16" spans="1:14" ht="15.75">
      <c r="A16" s="259">
        <v>2</v>
      </c>
      <c r="B16" s="193"/>
      <c r="C16" s="194">
        <v>2</v>
      </c>
      <c r="D16" s="237" t="s">
        <v>322</v>
      </c>
      <c r="E16" s="195"/>
      <c r="F16" s="195"/>
      <c r="G16" s="196"/>
      <c r="H16" s="196"/>
      <c r="I16" s="210"/>
      <c r="K16" s="183"/>
      <c r="N16" s="17"/>
    </row>
    <row r="17" spans="1:14" ht="15.75">
      <c r="A17" s="197" t="s">
        <v>28</v>
      </c>
      <c r="B17" s="198">
        <v>96001</v>
      </c>
      <c r="C17" s="198" t="s">
        <v>28</v>
      </c>
      <c r="D17" s="238" t="s">
        <v>323</v>
      </c>
      <c r="E17" s="233" t="s">
        <v>324</v>
      </c>
      <c r="F17" s="234">
        <v>540</v>
      </c>
      <c r="G17" s="235">
        <v>6.06</v>
      </c>
      <c r="H17" s="235">
        <f>ROUND((G17*$J$11),2)</f>
        <v>7.58</v>
      </c>
      <c r="I17" s="260">
        <f>H17*F17</f>
        <v>4093.2</v>
      </c>
      <c r="K17" s="183"/>
      <c r="L17" s="187">
        <v>5.07</v>
      </c>
      <c r="M17" s="187">
        <v>6.342063</v>
      </c>
      <c r="N17" s="188">
        <v>43964.4491286</v>
      </c>
    </row>
    <row r="18" spans="1:14" ht="15.75">
      <c r="A18" s="352" t="s">
        <v>30</v>
      </c>
      <c r="B18" s="353"/>
      <c r="C18" s="353"/>
      <c r="D18" s="353"/>
      <c r="E18" s="353"/>
      <c r="F18" s="353"/>
      <c r="G18" s="353"/>
      <c r="H18" s="354"/>
      <c r="I18" s="213">
        <f>SUM(I17:I17)</f>
        <v>4093.2</v>
      </c>
      <c r="K18" s="183"/>
      <c r="M18" s="185" t="s">
        <v>27</v>
      </c>
      <c r="N18" s="17">
        <v>44327.07202924</v>
      </c>
    </row>
    <row r="19" spans="1:14" ht="15.75">
      <c r="A19" s="259">
        <v>3</v>
      </c>
      <c r="B19" s="193"/>
      <c r="C19" s="194">
        <v>3</v>
      </c>
      <c r="D19" s="237" t="s">
        <v>325</v>
      </c>
      <c r="E19" s="195"/>
      <c r="F19" s="195"/>
      <c r="G19" s="196"/>
      <c r="H19" s="196"/>
      <c r="I19" s="210"/>
      <c r="K19" s="183"/>
      <c r="N19" s="17"/>
    </row>
    <row r="20" spans="1:14" ht="47.25">
      <c r="A20" s="261" t="s">
        <v>31</v>
      </c>
      <c r="B20" s="199">
        <v>96402</v>
      </c>
      <c r="C20" s="240" t="s">
        <v>31</v>
      </c>
      <c r="D20" s="239" t="s">
        <v>326</v>
      </c>
      <c r="E20" s="199" t="s">
        <v>33</v>
      </c>
      <c r="F20" s="201">
        <v>270</v>
      </c>
      <c r="G20" s="202">
        <v>906.08</v>
      </c>
      <c r="H20" s="202">
        <f>G20*J11</f>
        <v>1132.6000000000001</v>
      </c>
      <c r="I20" s="212">
        <f>F20*H20</f>
        <v>305802.00000000006</v>
      </c>
      <c r="K20" s="183"/>
      <c r="L20" s="15">
        <v>1.73</v>
      </c>
      <c r="M20" s="15">
        <v>2.164057</v>
      </c>
      <c r="N20" s="184">
        <v>15001.6759354</v>
      </c>
    </row>
    <row r="21" spans="1:14" ht="15.75">
      <c r="A21" s="203"/>
      <c r="B21" s="198"/>
      <c r="C21" s="199"/>
      <c r="D21" s="200"/>
      <c r="E21" s="199"/>
      <c r="F21" s="201"/>
      <c r="G21" s="202"/>
      <c r="H21" s="202"/>
      <c r="I21" s="212"/>
      <c r="K21" s="183"/>
      <c r="L21" s="15">
        <v>912.38</v>
      </c>
      <c r="M21" s="15">
        <v>1141.296142</v>
      </c>
      <c r="N21" s="184">
        <v>237350.793467172</v>
      </c>
    </row>
    <row r="22" spans="1:14" ht="16.5" thickBot="1">
      <c r="A22" s="355" t="s">
        <v>36</v>
      </c>
      <c r="B22" s="356"/>
      <c r="C22" s="356"/>
      <c r="D22" s="356"/>
      <c r="E22" s="356"/>
      <c r="F22" s="356"/>
      <c r="G22" s="356"/>
      <c r="H22" s="357"/>
      <c r="I22" s="262">
        <f>I20</f>
        <v>305802.00000000006</v>
      </c>
      <c r="K22" s="183"/>
      <c r="M22" s="185" t="s">
        <v>27</v>
      </c>
      <c r="N22" s="17">
        <v>283444.875578312</v>
      </c>
    </row>
    <row r="23" spans="1:14" ht="3.6" customHeight="1" thickBot="1">
      <c r="A23" s="204"/>
      <c r="B23" s="205"/>
      <c r="C23" s="206"/>
      <c r="D23" s="207"/>
      <c r="E23" s="205"/>
      <c r="F23" s="205"/>
      <c r="G23" s="208"/>
      <c r="H23" s="208"/>
      <c r="I23" s="214"/>
      <c r="N23" s="17"/>
    </row>
    <row r="24" spans="1:14" ht="18" customHeight="1">
      <c r="A24" s="358" t="s">
        <v>37</v>
      </c>
      <c r="B24" s="359"/>
      <c r="C24" s="359"/>
      <c r="D24" s="359"/>
      <c r="E24" s="359"/>
      <c r="F24" s="359"/>
      <c r="G24" s="359"/>
      <c r="H24" s="360"/>
      <c r="I24" s="215">
        <f>SUM(I22,I18,I15)</f>
        <v>324823.95000000007</v>
      </c>
      <c r="M24" t="s">
        <v>38</v>
      </c>
      <c r="N24" s="17">
        <v>328678.674981552</v>
      </c>
    </row>
    <row r="25" ht="15">
      <c r="N25" s="17"/>
    </row>
    <row r="28" ht="18.75" customHeight="1"/>
    <row r="31" spans="3:10" ht="43.5" customHeight="1">
      <c r="C31" s="305" t="s">
        <v>39</v>
      </c>
      <c r="D31" s="305"/>
      <c r="E31" s="305"/>
      <c r="F31" s="305"/>
      <c r="G31" s="305"/>
      <c r="H31" s="305"/>
      <c r="I31" s="305"/>
      <c r="J31" s="216"/>
    </row>
  </sheetData>
  <mergeCells count="19">
    <mergeCell ref="A7:B7"/>
    <mergeCell ref="C7:D7"/>
    <mergeCell ref="E7:G7"/>
    <mergeCell ref="H7:I7"/>
    <mergeCell ref="A8:B8"/>
    <mergeCell ref="C8:D8"/>
    <mergeCell ref="E8:G8"/>
    <mergeCell ref="H8:I8"/>
    <mergeCell ref="A9:B9"/>
    <mergeCell ref="C9:D9"/>
    <mergeCell ref="E9:G9"/>
    <mergeCell ref="H9:I9"/>
    <mergeCell ref="A10:I10"/>
    <mergeCell ref="C31:I31"/>
    <mergeCell ref="A11:I11"/>
    <mergeCell ref="A15:H15"/>
    <mergeCell ref="A18:H18"/>
    <mergeCell ref="A22:H22"/>
    <mergeCell ref="A24:H24"/>
  </mergeCells>
  <printOptions/>
  <pageMargins left="0.708661417322835" right="0.708661417322835" top="1.25984251968504" bottom="0.748031496062992" header="0.31496062992126" footer="0.31496062992126"/>
  <pageSetup fitToHeight="0" fitToWidth="1" horizontalDpi="1200" verticalDpi="1200" orientation="landscape" paperSize="9" scale="77" r:id="rId3"/>
  <headerFooter>
    <oddHeader>&amp;C&amp;G</oddHeader>
    <oddFooter>&amp;C
GL CONSTRUTORA LTDA
CNPJ: 05.214.984/0001-27
INSCRIÇÃO ESTADUAL: 15.265.127-6
Endereço: RAMAL DO DEZOITO, 100, SALA 01, KM 02, ZONA RURAL
CEP: 68.738-000 - SANTA MARIA DO PARÁ</oddFooter>
  </headerFooter>
  <colBreaks count="1" manualBreakCount="1">
    <brk id="9" max="16383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4"/>
  <sheetViews>
    <sheetView zoomScale="83" zoomScaleNormal="83" workbookViewId="0" topLeftCell="A1">
      <selection activeCell="N15" sqref="N15:N16"/>
    </sheetView>
  </sheetViews>
  <sheetFormatPr defaultColWidth="9.00390625" defaultRowHeight="15"/>
  <cols>
    <col min="2" max="2" width="6.140625" style="0" customWidth="1"/>
    <col min="3" max="3" width="68.7109375" style="0" customWidth="1"/>
    <col min="4" max="4" width="11.28125" style="0" customWidth="1"/>
    <col min="5" max="5" width="20.28125" style="0" customWidth="1"/>
  </cols>
  <sheetData>
    <row r="1" spans="1:6" ht="19.5" thickBot="1">
      <c r="A1" s="386" t="s">
        <v>365</v>
      </c>
      <c r="B1" s="387"/>
      <c r="C1" s="387"/>
      <c r="D1" s="387"/>
      <c r="E1" s="387"/>
      <c r="F1" s="388"/>
    </row>
    <row r="2" spans="1:6" ht="30.6" customHeight="1">
      <c r="A2" s="399" t="s">
        <v>1</v>
      </c>
      <c r="B2" s="400"/>
      <c r="C2" s="389" t="s">
        <v>318</v>
      </c>
      <c r="D2" s="389"/>
      <c r="E2" s="389"/>
      <c r="F2" s="390"/>
    </row>
    <row r="3" spans="1:6" ht="15.75">
      <c r="A3" s="339" t="s">
        <v>2</v>
      </c>
      <c r="B3" s="340"/>
      <c r="C3" s="391" t="s">
        <v>319</v>
      </c>
      <c r="D3" s="391"/>
      <c r="E3" s="391"/>
      <c r="F3" s="392"/>
    </row>
    <row r="4" spans="1:6" ht="15">
      <c r="A4" s="397" t="s">
        <v>0</v>
      </c>
      <c r="B4" s="398"/>
      <c r="C4" s="393">
        <f>'Planilha Orç Não Deson.'!I24</f>
        <v>324823.95000000007</v>
      </c>
      <c r="D4" s="393"/>
      <c r="E4" s="393"/>
      <c r="F4" s="394"/>
    </row>
    <row r="5" spans="1:6" ht="15">
      <c r="A5" s="397"/>
      <c r="B5" s="398"/>
      <c r="C5" s="393"/>
      <c r="D5" s="393"/>
      <c r="E5" s="393"/>
      <c r="F5" s="394"/>
    </row>
    <row r="6" spans="1:6" ht="16.5" thickBot="1">
      <c r="A6" s="385" t="s">
        <v>3</v>
      </c>
      <c r="B6" s="346"/>
      <c r="C6" s="395">
        <v>0.25</v>
      </c>
      <c r="D6" s="395"/>
      <c r="E6" s="395"/>
      <c r="F6" s="396"/>
    </row>
    <row r="7" ht="15.75" thickBot="1"/>
    <row r="8" spans="2:5" ht="21.75" thickBot="1">
      <c r="B8" s="413" t="s">
        <v>150</v>
      </c>
      <c r="C8" s="414"/>
      <c r="D8" s="414"/>
      <c r="E8" s="415"/>
    </row>
    <row r="9" ht="15.75" thickBot="1"/>
    <row r="10" spans="2:5" ht="14.45" customHeight="1">
      <c r="B10" s="407" t="s">
        <v>327</v>
      </c>
      <c r="C10" s="408"/>
      <c r="D10" s="408"/>
      <c r="E10" s="409"/>
    </row>
    <row r="11" spans="2:5" ht="14.45" customHeight="1" thickBot="1">
      <c r="B11" s="410"/>
      <c r="C11" s="411"/>
      <c r="D11" s="411"/>
      <c r="E11" s="412"/>
    </row>
    <row r="12" spans="2:5" ht="15">
      <c r="B12" s="401" t="s">
        <v>5</v>
      </c>
      <c r="C12" s="403" t="s">
        <v>345</v>
      </c>
      <c r="D12" s="403" t="s">
        <v>346</v>
      </c>
      <c r="E12" s="405" t="s">
        <v>347</v>
      </c>
    </row>
    <row r="13" spans="2:5" ht="15">
      <c r="B13" s="402"/>
      <c r="C13" s="404"/>
      <c r="D13" s="404"/>
      <c r="E13" s="406"/>
    </row>
    <row r="14" spans="2:5" ht="15">
      <c r="B14" s="253" t="s">
        <v>31</v>
      </c>
      <c r="C14" s="247" t="s">
        <v>328</v>
      </c>
      <c r="D14" s="248" t="s">
        <v>329</v>
      </c>
      <c r="E14" s="257">
        <v>20</v>
      </c>
    </row>
    <row r="15" spans="2:5" ht="15">
      <c r="B15" s="253" t="s">
        <v>32</v>
      </c>
      <c r="C15" s="249" t="s">
        <v>330</v>
      </c>
      <c r="D15" s="248" t="s">
        <v>329</v>
      </c>
      <c r="E15" s="257">
        <v>20</v>
      </c>
    </row>
    <row r="16" spans="2:5" ht="15">
      <c r="B16" s="253" t="s">
        <v>34</v>
      </c>
      <c r="C16" s="247" t="s">
        <v>331</v>
      </c>
      <c r="D16" s="248" t="s">
        <v>329</v>
      </c>
      <c r="E16" s="257">
        <v>20</v>
      </c>
    </row>
    <row r="17" spans="2:5" ht="15">
      <c r="B17" s="253" t="s">
        <v>35</v>
      </c>
      <c r="C17" s="250" t="s">
        <v>332</v>
      </c>
      <c r="D17" s="248" t="s">
        <v>329</v>
      </c>
      <c r="E17" s="257">
        <v>10</v>
      </c>
    </row>
    <row r="18" spans="2:5" ht="15">
      <c r="B18" s="253" t="s">
        <v>349</v>
      </c>
      <c r="C18" s="250" t="s">
        <v>333</v>
      </c>
      <c r="D18" s="248" t="s">
        <v>329</v>
      </c>
      <c r="E18" s="257">
        <v>20</v>
      </c>
    </row>
    <row r="19" spans="2:5" ht="15">
      <c r="B19" s="253" t="s">
        <v>350</v>
      </c>
      <c r="C19" s="247" t="s">
        <v>334</v>
      </c>
      <c r="D19" s="248" t="s">
        <v>329</v>
      </c>
      <c r="E19" s="257">
        <v>20</v>
      </c>
    </row>
    <row r="20" spans="2:5" ht="15">
      <c r="B20" s="253" t="s">
        <v>351</v>
      </c>
      <c r="C20" s="247" t="s">
        <v>335</v>
      </c>
      <c r="D20" s="248" t="s">
        <v>329</v>
      </c>
      <c r="E20" s="257">
        <v>10</v>
      </c>
    </row>
    <row r="21" spans="2:5" ht="28.5">
      <c r="B21" s="253" t="s">
        <v>352</v>
      </c>
      <c r="C21" s="251" t="s">
        <v>336</v>
      </c>
      <c r="D21" s="248" t="s">
        <v>329</v>
      </c>
      <c r="E21" s="257">
        <v>20</v>
      </c>
    </row>
    <row r="22" spans="2:5" ht="28.5">
      <c r="B22" s="253" t="s">
        <v>353</v>
      </c>
      <c r="C22" s="247" t="s">
        <v>337</v>
      </c>
      <c r="D22" s="248" t="s">
        <v>329</v>
      </c>
      <c r="E22" s="257">
        <v>10</v>
      </c>
    </row>
    <row r="23" spans="2:5" ht="28.5">
      <c r="B23" s="253" t="s">
        <v>354</v>
      </c>
      <c r="C23" s="247" t="s">
        <v>338</v>
      </c>
      <c r="D23" s="248" t="s">
        <v>329</v>
      </c>
      <c r="E23" s="257">
        <v>20</v>
      </c>
    </row>
    <row r="24" spans="2:5" ht="15">
      <c r="B24" s="253" t="s">
        <v>355</v>
      </c>
      <c r="C24" s="247" t="s">
        <v>339</v>
      </c>
      <c r="D24" s="248" t="s">
        <v>329</v>
      </c>
      <c r="E24" s="257">
        <v>20</v>
      </c>
    </row>
    <row r="25" spans="2:5" ht="28.5">
      <c r="B25" s="253" t="s">
        <v>356</v>
      </c>
      <c r="C25" s="232" t="s">
        <v>340</v>
      </c>
      <c r="D25" s="248" t="s">
        <v>329</v>
      </c>
      <c r="E25" s="257">
        <v>20</v>
      </c>
    </row>
    <row r="26" spans="2:5" ht="15">
      <c r="B26" s="253" t="s">
        <v>357</v>
      </c>
      <c r="C26" s="238" t="s">
        <v>341</v>
      </c>
      <c r="D26" s="248" t="s">
        <v>329</v>
      </c>
      <c r="E26" s="257">
        <v>20</v>
      </c>
    </row>
    <row r="27" spans="2:5" ht="15">
      <c r="B27" s="253" t="s">
        <v>358</v>
      </c>
      <c r="C27" s="238" t="s">
        <v>342</v>
      </c>
      <c r="D27" s="248" t="s">
        <v>329</v>
      </c>
      <c r="E27" s="257">
        <v>20</v>
      </c>
    </row>
    <row r="28" spans="2:5" ht="28.5">
      <c r="B28" s="253" t="s">
        <v>359</v>
      </c>
      <c r="C28" s="232" t="s">
        <v>343</v>
      </c>
      <c r="D28" s="248" t="s">
        <v>329</v>
      </c>
      <c r="E28" s="257">
        <v>10</v>
      </c>
    </row>
    <row r="29" spans="2:5" ht="30" thickBot="1">
      <c r="B29" s="254" t="s">
        <v>360</v>
      </c>
      <c r="C29" s="255" t="s">
        <v>344</v>
      </c>
      <c r="D29" s="256" t="s">
        <v>329</v>
      </c>
      <c r="E29" s="258">
        <v>10</v>
      </c>
    </row>
    <row r="30" spans="2:5" ht="15.6" customHeight="1" thickBot="1">
      <c r="B30" s="417" t="s">
        <v>38</v>
      </c>
      <c r="C30" s="418"/>
      <c r="D30" s="418"/>
      <c r="E30" s="265">
        <f>SUM(E14:E29)</f>
        <v>270</v>
      </c>
    </row>
    <row r="31" spans="2:5" ht="15.6" customHeight="1">
      <c r="B31" s="107"/>
      <c r="C31" s="108"/>
      <c r="D31" s="108"/>
      <c r="E31" s="109"/>
    </row>
    <row r="32" ht="15">
      <c r="E32" s="110"/>
    </row>
    <row r="33" ht="15">
      <c r="E33" s="1"/>
    </row>
    <row r="34" ht="15">
      <c r="E34" s="252"/>
    </row>
    <row r="35" spans="2:5" ht="63" customHeight="1">
      <c r="B35" s="416" t="s">
        <v>348</v>
      </c>
      <c r="C35" s="416"/>
      <c r="D35" s="416"/>
      <c r="E35" s="416"/>
    </row>
    <row r="36" ht="15">
      <c r="E36" s="1"/>
    </row>
    <row r="37" ht="15">
      <c r="E37" s="1"/>
    </row>
    <row r="38" ht="15">
      <c r="E38" s="1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</sheetData>
  <mergeCells count="17">
    <mergeCell ref="B8:E8"/>
    <mergeCell ref="B35:E35"/>
    <mergeCell ref="B30:D30"/>
    <mergeCell ref="B12:B13"/>
    <mergeCell ref="C12:C13"/>
    <mergeCell ref="D12:D13"/>
    <mergeCell ref="E12:E13"/>
    <mergeCell ref="B10:E11"/>
    <mergeCell ref="A6:B6"/>
    <mergeCell ref="A1:F1"/>
    <mergeCell ref="C2:F2"/>
    <mergeCell ref="C3:F3"/>
    <mergeCell ref="C4:F5"/>
    <mergeCell ref="C6:F6"/>
    <mergeCell ref="A3:B3"/>
    <mergeCell ref="A4:B5"/>
    <mergeCell ref="A2:B2"/>
  </mergeCells>
  <printOptions horizontalCentered="1"/>
  <pageMargins left="0.5118110236220472" right="0.5118110236220472" top="1.5748031496062993" bottom="0.7874015748031497" header="0.31496062992125984" footer="0.31496062992125984"/>
  <pageSetup fitToHeight="1" fitToWidth="1" horizontalDpi="600" verticalDpi="600" orientation="portrait" paperSize="9" scale="74" r:id="rId3"/>
  <headerFooter>
    <oddHeader>&amp;C&amp;G</oddHeader>
    <oddFooter>&amp;CGL CONSTRUTORA LTDA
CNPJ: 05.214.984/0001-27
INSCRIÇÃO ESTADUAL: 15.265.127-6
Endereço: RAMAL DO DEZOITO, 100, SALA 01, KM 02, ZONA RURAL
CEP: 68.738-000 - SANTA MARIA DO PAR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L137"/>
  <sheetViews>
    <sheetView view="pageBreakPreview" zoomScale="62" zoomScaleSheetLayoutView="62" workbookViewId="0" topLeftCell="A1">
      <selection activeCell="S12" sqref="S12"/>
    </sheetView>
  </sheetViews>
  <sheetFormatPr defaultColWidth="8.8515625" defaultRowHeight="15"/>
  <cols>
    <col min="1" max="1" width="8.421875" style="169" customWidth="1"/>
    <col min="2" max="2" width="5.7109375" style="169" customWidth="1"/>
    <col min="3" max="3" width="19.8515625" style="169" customWidth="1"/>
    <col min="4" max="4" width="8.8515625" style="169" customWidth="1"/>
    <col min="5" max="5" width="11.57421875" style="169" customWidth="1"/>
    <col min="6" max="6" width="13.00390625" style="169" customWidth="1"/>
    <col min="7" max="8" width="6.57421875" style="169" customWidth="1"/>
    <col min="9" max="9" width="10.140625" style="169" customWidth="1"/>
    <col min="10" max="16384" width="8.8515625" style="128" customWidth="1"/>
  </cols>
  <sheetData>
    <row r="1" spans="1:9" ht="20.25" customHeight="1">
      <c r="A1" s="444"/>
      <c r="B1" s="444"/>
      <c r="C1" s="444"/>
      <c r="D1" s="444"/>
      <c r="E1" s="444"/>
      <c r="F1" s="444"/>
      <c r="G1" s="444"/>
      <c r="H1" s="444"/>
      <c r="I1" s="444"/>
    </row>
    <row r="2" spans="1:9" s="168" customFormat="1" ht="17.25" customHeight="1">
      <c r="A2" s="445" t="s">
        <v>41</v>
      </c>
      <c r="B2" s="445"/>
      <c r="C2" s="445"/>
      <c r="D2" s="445"/>
      <c r="E2" s="445"/>
      <c r="F2" s="445"/>
      <c r="G2" s="445"/>
      <c r="H2" s="445"/>
      <c r="I2" s="445"/>
    </row>
    <row r="3" spans="1:9" s="168" customFormat="1" ht="17.25" customHeight="1">
      <c r="A3" s="445" t="s">
        <v>42</v>
      </c>
      <c r="B3" s="445"/>
      <c r="C3" s="445"/>
      <c r="D3" s="445"/>
      <c r="E3" s="445"/>
      <c r="F3" s="445"/>
      <c r="G3" s="445"/>
      <c r="H3" s="445"/>
      <c r="I3" s="445"/>
    </row>
    <row r="4" spans="1:9" ht="14.25" customHeight="1">
      <c r="A4" s="439" t="str">
        <f>'[2]PANILHA NÃO DESONERADA'!A4</f>
        <v>PROPONENTE</v>
      </c>
      <c r="B4" s="439"/>
      <c r="C4" s="435" t="s">
        <v>361</v>
      </c>
      <c r="D4" s="435"/>
      <c r="E4" s="435"/>
      <c r="F4" s="170" t="s">
        <v>43</v>
      </c>
      <c r="G4" s="435" t="s">
        <v>362</v>
      </c>
      <c r="H4" s="435"/>
      <c r="I4" s="435"/>
    </row>
    <row r="5" spans="1:9" ht="26.45" customHeight="1">
      <c r="A5" s="439" t="str">
        <f>'[2]PANILHA NÃO DESONERADA'!A5</f>
        <v>OBJETO</v>
      </c>
      <c r="B5" s="439"/>
      <c r="C5" s="440" t="str">
        <f>Resumo!C3</f>
        <v xml:space="preserve">SERVIÇO DE APLICAÇÃO E COMPACTAÇÃO DE MASSA ASFÁLTICA (CBUQ) EM OPERAÇÃO PARA TAPA BURACOS, COM FORNECIMENTO DE MATERIAL. </v>
      </c>
      <c r="D5" s="440"/>
      <c r="E5" s="440"/>
      <c r="F5" s="440"/>
      <c r="G5" s="440"/>
      <c r="H5" s="440"/>
      <c r="I5" s="440"/>
    </row>
    <row r="6" spans="1:9" ht="24.6" customHeight="1">
      <c r="A6" s="441" t="str">
        <f>'[2]PANILHA NÃO DESONERADA'!A6</f>
        <v>ENDEREÇO OBRA</v>
      </c>
      <c r="B6" s="441"/>
      <c r="C6" s="440" t="str">
        <f>Resumo!C4</f>
        <v>OURÉM PA</v>
      </c>
      <c r="D6" s="440"/>
      <c r="E6" s="440"/>
      <c r="F6" s="440"/>
      <c r="G6" s="440"/>
      <c r="H6" s="440"/>
      <c r="I6" s="440"/>
    </row>
    <row r="7" spans="1:9" ht="14.25" customHeight="1">
      <c r="A7" s="442" t="s">
        <v>44</v>
      </c>
      <c r="B7" s="442"/>
      <c r="C7" s="443">
        <f>I25</f>
        <v>0.25</v>
      </c>
      <c r="D7" s="443"/>
      <c r="E7" s="443"/>
      <c r="F7" s="443"/>
      <c r="G7" s="443"/>
      <c r="H7" s="443"/>
      <c r="I7" s="443"/>
    </row>
    <row r="8" spans="1:9" ht="14.25" customHeight="1">
      <c r="A8" s="434" t="s">
        <v>45</v>
      </c>
      <c r="B8" s="434"/>
      <c r="C8" s="435" t="s">
        <v>12</v>
      </c>
      <c r="D8" s="435"/>
      <c r="E8" s="435"/>
      <c r="F8" s="170" t="s">
        <v>46</v>
      </c>
      <c r="G8" s="435" t="s">
        <v>364</v>
      </c>
      <c r="H8" s="435"/>
      <c r="I8" s="435"/>
    </row>
    <row r="9" spans="1:9" ht="15">
      <c r="A9" s="171"/>
      <c r="B9" s="171"/>
      <c r="C9" s="171"/>
      <c r="D9" s="171"/>
      <c r="E9" s="171"/>
      <c r="F9" s="171"/>
      <c r="G9" s="171"/>
      <c r="H9" s="171"/>
      <c r="I9" s="176"/>
    </row>
    <row r="10" spans="1:9" ht="15">
      <c r="A10" s="172" t="s">
        <v>17</v>
      </c>
      <c r="B10" s="436" t="s">
        <v>47</v>
      </c>
      <c r="C10" s="437"/>
      <c r="D10" s="437"/>
      <c r="E10" s="437"/>
      <c r="F10" s="437"/>
      <c r="G10" s="437"/>
      <c r="H10" s="437"/>
      <c r="I10" s="438"/>
    </row>
    <row r="11" spans="1:9" ht="15">
      <c r="A11" s="173">
        <v>1</v>
      </c>
      <c r="B11" s="433" t="s">
        <v>48</v>
      </c>
      <c r="C11" s="433"/>
      <c r="D11" s="433"/>
      <c r="E11" s="433"/>
      <c r="F11" s="433"/>
      <c r="G11" s="433"/>
      <c r="H11" s="433"/>
      <c r="I11" s="241">
        <v>0.03</v>
      </c>
    </row>
    <row r="12" spans="1:12" ht="15">
      <c r="A12" s="173">
        <v>2</v>
      </c>
      <c r="B12" s="433" t="s">
        <v>49</v>
      </c>
      <c r="C12" s="433"/>
      <c r="D12" s="433"/>
      <c r="E12" s="433"/>
      <c r="F12" s="433"/>
      <c r="G12" s="433"/>
      <c r="H12" s="433"/>
      <c r="I12" s="241">
        <v>0.008</v>
      </c>
      <c r="L12" s="128">
        <f>6*4*4</f>
        <v>96</v>
      </c>
    </row>
    <row r="13" spans="1:9" ht="15">
      <c r="A13" s="173">
        <v>3</v>
      </c>
      <c r="B13" s="433" t="s">
        <v>50</v>
      </c>
      <c r="C13" s="433"/>
      <c r="D13" s="433"/>
      <c r="E13" s="433"/>
      <c r="F13" s="433"/>
      <c r="G13" s="433"/>
      <c r="H13" s="433"/>
      <c r="I13" s="242">
        <v>0.0098</v>
      </c>
    </row>
    <row r="14" spans="1:9" ht="15">
      <c r="A14" s="173">
        <v>4</v>
      </c>
      <c r="B14" s="433" t="s">
        <v>51</v>
      </c>
      <c r="C14" s="433"/>
      <c r="D14" s="433"/>
      <c r="E14" s="433"/>
      <c r="F14" s="433"/>
      <c r="G14" s="433"/>
      <c r="H14" s="433"/>
      <c r="I14" s="241">
        <v>0.0059</v>
      </c>
    </row>
    <row r="15" spans="1:9" ht="15">
      <c r="A15" s="173">
        <v>5</v>
      </c>
      <c r="B15" s="433" t="s">
        <v>52</v>
      </c>
      <c r="C15" s="433"/>
      <c r="D15" s="433"/>
      <c r="E15" s="433"/>
      <c r="F15" s="433"/>
      <c r="G15" s="433"/>
      <c r="H15" s="433"/>
      <c r="I15" s="243">
        <v>0.03</v>
      </c>
    </row>
    <row r="16" spans="1:9" ht="15">
      <c r="A16" s="173">
        <v>6</v>
      </c>
      <c r="B16" s="433" t="s">
        <v>53</v>
      </c>
      <c r="C16" s="433"/>
      <c r="D16" s="433"/>
      <c r="E16" s="433"/>
      <c r="F16" s="433"/>
      <c r="G16" s="433"/>
      <c r="H16" s="433"/>
      <c r="I16" s="244">
        <f>I23</f>
        <v>0.1315</v>
      </c>
    </row>
    <row r="17" spans="1:9" ht="15">
      <c r="A17" s="171"/>
      <c r="B17" s="171"/>
      <c r="C17" s="171"/>
      <c r="D17" s="171"/>
      <c r="E17" s="171"/>
      <c r="F17" s="171"/>
      <c r="G17" s="171"/>
      <c r="H17" s="171"/>
      <c r="I17" s="176"/>
    </row>
    <row r="18" spans="1:9" ht="13.5" thickBot="1">
      <c r="A18" s="172" t="s">
        <v>17</v>
      </c>
      <c r="B18" s="431" t="s">
        <v>54</v>
      </c>
      <c r="C18" s="431"/>
      <c r="D18" s="431"/>
      <c r="E18" s="431"/>
      <c r="F18" s="431"/>
      <c r="G18" s="431"/>
      <c r="H18" s="431"/>
      <c r="I18" s="431"/>
    </row>
    <row r="19" spans="1:9" ht="15">
      <c r="A19" s="173" t="s">
        <v>55</v>
      </c>
      <c r="B19" s="432" t="s">
        <v>56</v>
      </c>
      <c r="C19" s="432"/>
      <c r="D19" s="432"/>
      <c r="E19" s="432"/>
      <c r="F19" s="432"/>
      <c r="G19" s="432"/>
      <c r="H19" s="432"/>
      <c r="I19" s="245">
        <v>0.05</v>
      </c>
    </row>
    <row r="20" spans="1:9" ht="15">
      <c r="A20" s="173" t="s">
        <v>57</v>
      </c>
      <c r="B20" s="432" t="s">
        <v>58</v>
      </c>
      <c r="C20" s="432"/>
      <c r="D20" s="432"/>
      <c r="E20" s="432"/>
      <c r="F20" s="432"/>
      <c r="G20" s="432"/>
      <c r="H20" s="432"/>
      <c r="I20" s="246">
        <v>0.0065</v>
      </c>
    </row>
    <row r="21" spans="1:9" ht="15">
      <c r="A21" s="173" t="s">
        <v>59</v>
      </c>
      <c r="B21" s="432" t="s">
        <v>60</v>
      </c>
      <c r="C21" s="432"/>
      <c r="D21" s="432"/>
      <c r="E21" s="432"/>
      <c r="F21" s="432"/>
      <c r="G21" s="432"/>
      <c r="H21" s="432"/>
      <c r="I21" s="246">
        <v>0.03</v>
      </c>
    </row>
    <row r="22" spans="1:9" ht="15.75" thickBot="1">
      <c r="A22" s="173" t="s">
        <v>61</v>
      </c>
      <c r="B22" s="433" t="s">
        <v>62</v>
      </c>
      <c r="C22" s="433"/>
      <c r="D22" s="433"/>
      <c r="E22" s="433"/>
      <c r="F22" s="433"/>
      <c r="G22" s="433"/>
      <c r="H22" s="433"/>
      <c r="I22" s="246">
        <v>0.045</v>
      </c>
    </row>
    <row r="23" spans="1:9" ht="13.5" thickBot="1">
      <c r="A23" s="425" t="s">
        <v>63</v>
      </c>
      <c r="B23" s="425"/>
      <c r="C23" s="425"/>
      <c r="D23" s="425"/>
      <c r="E23" s="425"/>
      <c r="F23" s="425"/>
      <c r="G23" s="425"/>
      <c r="H23" s="426"/>
      <c r="I23" s="263">
        <f>SUM(I19:I22)</f>
        <v>0.1315</v>
      </c>
    </row>
    <row r="24" spans="1:9" ht="15.75" thickBot="1">
      <c r="A24" s="427" t="s">
        <v>64</v>
      </c>
      <c r="B24" s="427"/>
      <c r="C24" s="427"/>
      <c r="D24" s="427"/>
      <c r="E24" s="427"/>
      <c r="F24" s="427"/>
      <c r="G24" s="427"/>
      <c r="H24" s="427"/>
      <c r="I24" s="428"/>
    </row>
    <row r="25" spans="1:9" ht="37.5" customHeight="1" thickBot="1">
      <c r="A25" s="429"/>
      <c r="B25" s="429"/>
      <c r="C25" s="429"/>
      <c r="D25" s="429"/>
      <c r="E25" s="429"/>
      <c r="F25" s="429"/>
      <c r="G25" s="429"/>
      <c r="H25" s="430"/>
      <c r="I25" s="264">
        <f>ROUND((((1+I11+I12+I13)*(1+I14)*(1+I15))/(1-I16))-1,4)</f>
        <v>0.25</v>
      </c>
    </row>
    <row r="26" spans="1:9" ht="12.75">
      <c r="A26" s="171"/>
      <c r="B26" s="171"/>
      <c r="C26" s="171"/>
      <c r="D26" s="171"/>
      <c r="E26" s="171"/>
      <c r="F26" s="171"/>
      <c r="G26" s="171"/>
      <c r="H26" s="171"/>
      <c r="I26" s="177"/>
    </row>
    <row r="27" spans="1:9" ht="15">
      <c r="A27" s="174" t="s">
        <v>65</v>
      </c>
      <c r="B27" s="175"/>
      <c r="C27" s="175"/>
      <c r="D27" s="175"/>
      <c r="E27" s="175"/>
      <c r="F27" s="175"/>
      <c r="G27" s="175"/>
      <c r="H27" s="175"/>
      <c r="I27" s="175"/>
    </row>
    <row r="28" spans="1:9" ht="12.75" customHeight="1">
      <c r="A28" s="421" t="s">
        <v>66</v>
      </c>
      <c r="B28" s="421"/>
      <c r="C28" s="421"/>
      <c r="D28" s="421"/>
      <c r="E28" s="421"/>
      <c r="F28" s="421"/>
      <c r="G28" s="421"/>
      <c r="H28" s="421"/>
      <c r="I28" s="421"/>
    </row>
    <row r="29" spans="1:9" ht="12.75" customHeight="1">
      <c r="A29" s="421" t="s">
        <v>67</v>
      </c>
      <c r="B29" s="421"/>
      <c r="C29" s="421"/>
      <c r="D29" s="421"/>
      <c r="E29" s="421"/>
      <c r="F29" s="421"/>
      <c r="G29" s="421"/>
      <c r="H29" s="421"/>
      <c r="I29" s="421"/>
    </row>
    <row r="30" spans="1:9" ht="12.75" customHeight="1">
      <c r="A30" s="421" t="s">
        <v>68</v>
      </c>
      <c r="B30" s="421"/>
      <c r="C30" s="421"/>
      <c r="D30" s="421"/>
      <c r="E30" s="421"/>
      <c r="F30" s="421"/>
      <c r="G30" s="421"/>
      <c r="H30" s="421"/>
      <c r="I30" s="421"/>
    </row>
    <row r="31" spans="1:9" ht="30.75" customHeight="1">
      <c r="A31" s="421" t="s">
        <v>69</v>
      </c>
      <c r="B31" s="421"/>
      <c r="C31" s="421"/>
      <c r="D31" s="421"/>
      <c r="E31" s="421"/>
      <c r="F31" s="421"/>
      <c r="G31" s="421"/>
      <c r="H31" s="421"/>
      <c r="I31" s="421"/>
    </row>
    <row r="32" spans="1:9" ht="34.5" customHeight="1">
      <c r="A32" s="422" t="s">
        <v>70</v>
      </c>
      <c r="B32" s="422"/>
      <c r="C32" s="422"/>
      <c r="D32" s="422"/>
      <c r="E32" s="422"/>
      <c r="F32" s="422"/>
      <c r="G32" s="422"/>
      <c r="H32" s="422"/>
      <c r="I32" s="422"/>
    </row>
    <row r="33" spans="1:9" ht="17.25" customHeight="1">
      <c r="A33" s="423"/>
      <c r="B33" s="423"/>
      <c r="C33" s="423"/>
      <c r="D33" s="423"/>
      <c r="E33" s="423"/>
      <c r="F33" s="423"/>
      <c r="G33" s="423"/>
      <c r="H33" s="423"/>
      <c r="I33" s="423"/>
    </row>
    <row r="34" spans="1:9" ht="12.75">
      <c r="A34" s="171"/>
      <c r="B34" s="171"/>
      <c r="C34" s="171"/>
      <c r="D34" s="171"/>
      <c r="E34" s="171"/>
      <c r="F34" s="171"/>
      <c r="G34" s="171"/>
      <c r="H34" s="171"/>
      <c r="I34" s="171"/>
    </row>
    <row r="35" spans="1:9" ht="12.75">
      <c r="A35" s="424"/>
      <c r="B35" s="424"/>
      <c r="C35" s="424"/>
      <c r="D35" s="424"/>
      <c r="E35" s="424"/>
      <c r="F35" s="424"/>
      <c r="G35" s="424"/>
      <c r="H35" s="424"/>
      <c r="I35" s="424"/>
    </row>
    <row r="36" spans="1:9" ht="15">
      <c r="A36" s="419"/>
      <c r="B36" s="419"/>
      <c r="C36" s="419"/>
      <c r="D36" s="419"/>
      <c r="E36" s="419"/>
      <c r="F36" s="419"/>
      <c r="G36" s="419"/>
      <c r="H36" s="419"/>
      <c r="I36" s="419"/>
    </row>
    <row r="37" spans="1:9" ht="15">
      <c r="A37" s="176"/>
      <c r="B37" s="176"/>
      <c r="C37" s="176"/>
      <c r="D37" s="176"/>
      <c r="E37" s="176"/>
      <c r="F37" s="176"/>
      <c r="G37" s="176"/>
      <c r="H37" s="176"/>
      <c r="I37" s="176"/>
    </row>
    <row r="38" spans="1:9" ht="15">
      <c r="A38" s="176"/>
      <c r="B38" s="176"/>
      <c r="C38" s="176"/>
      <c r="D38" s="176"/>
      <c r="E38" s="176"/>
      <c r="F38" s="176"/>
      <c r="G38" s="176"/>
      <c r="H38" s="176"/>
      <c r="I38" s="176"/>
    </row>
    <row r="39" spans="1:9" ht="15">
      <c r="A39" s="176"/>
      <c r="B39" s="176"/>
      <c r="C39" s="176"/>
      <c r="D39" s="176"/>
      <c r="E39" s="176"/>
      <c r="F39" s="176"/>
      <c r="G39" s="176"/>
      <c r="H39" s="176"/>
      <c r="I39" s="176"/>
    </row>
    <row r="40" spans="1:9" ht="15">
      <c r="A40" s="176"/>
      <c r="B40" s="176"/>
      <c r="C40" s="176"/>
      <c r="D40" s="176"/>
      <c r="E40" s="176"/>
      <c r="F40" s="176"/>
      <c r="G40" s="176"/>
      <c r="H40" s="176"/>
      <c r="I40" s="176"/>
    </row>
    <row r="41" spans="1:9" ht="15">
      <c r="A41" s="176"/>
      <c r="B41" s="176"/>
      <c r="C41" s="176"/>
      <c r="D41" s="176"/>
      <c r="E41" s="176"/>
      <c r="F41" s="176"/>
      <c r="G41" s="176"/>
      <c r="H41" s="176"/>
      <c r="I41" s="176"/>
    </row>
    <row r="42" spans="1:9" ht="15">
      <c r="A42" s="176"/>
      <c r="B42" s="176"/>
      <c r="C42" s="176"/>
      <c r="D42" s="176"/>
      <c r="E42" s="176"/>
      <c r="F42" s="176"/>
      <c r="G42" s="176"/>
      <c r="H42" s="176"/>
      <c r="I42" s="176"/>
    </row>
    <row r="43" spans="1:9" ht="15">
      <c r="A43" s="176"/>
      <c r="B43" s="176"/>
      <c r="C43" s="176"/>
      <c r="D43" s="176"/>
      <c r="E43" s="176"/>
      <c r="F43" s="176"/>
      <c r="G43" s="176"/>
      <c r="H43" s="176"/>
      <c r="I43" s="176"/>
    </row>
    <row r="44" spans="1:9" ht="15">
      <c r="A44" s="176"/>
      <c r="B44" s="176"/>
      <c r="C44" s="176"/>
      <c r="D44" s="176"/>
      <c r="E44" s="176"/>
      <c r="F44" s="176"/>
      <c r="G44" s="176"/>
      <c r="H44" s="176"/>
      <c r="I44" s="176"/>
    </row>
    <row r="45" spans="1:9" ht="15">
      <c r="A45" s="176"/>
      <c r="B45" s="176"/>
      <c r="C45" s="176"/>
      <c r="D45" s="176"/>
      <c r="E45" s="176"/>
      <c r="F45" s="176"/>
      <c r="G45" s="176"/>
      <c r="H45" s="176"/>
      <c r="I45" s="176"/>
    </row>
    <row r="46" spans="1:9" ht="15">
      <c r="A46" s="176"/>
      <c r="B46" s="176"/>
      <c r="C46" s="176"/>
      <c r="D46" s="176"/>
      <c r="E46" s="176"/>
      <c r="F46" s="176"/>
      <c r="G46" s="176"/>
      <c r="H46" s="176"/>
      <c r="I46" s="176"/>
    </row>
    <row r="47" spans="1:9" ht="15">
      <c r="A47" s="176"/>
      <c r="B47" s="176"/>
      <c r="C47" s="176"/>
      <c r="D47" s="176"/>
      <c r="E47" s="176"/>
      <c r="F47" s="176"/>
      <c r="G47" s="176"/>
      <c r="H47" s="176"/>
      <c r="I47" s="176"/>
    </row>
    <row r="48" spans="1:9" ht="15">
      <c r="A48" s="176"/>
      <c r="B48" s="176"/>
      <c r="C48" s="176"/>
      <c r="D48" s="176"/>
      <c r="E48" s="176"/>
      <c r="F48" s="176"/>
      <c r="G48" s="176"/>
      <c r="H48" s="176"/>
      <c r="I48" s="176"/>
    </row>
    <row r="49" spans="1:9" ht="15">
      <c r="A49" s="176"/>
      <c r="B49" s="176"/>
      <c r="C49" s="176"/>
      <c r="D49" s="176"/>
      <c r="E49" s="176"/>
      <c r="F49" s="176"/>
      <c r="G49" s="176"/>
      <c r="H49" s="176"/>
      <c r="I49" s="176"/>
    </row>
    <row r="50" spans="1:9" ht="15">
      <c r="A50" s="176"/>
      <c r="B50" s="176"/>
      <c r="C50" s="176"/>
      <c r="D50" s="176"/>
      <c r="E50" s="176"/>
      <c r="F50" s="176"/>
      <c r="G50" s="176"/>
      <c r="H50" s="176"/>
      <c r="I50" s="176"/>
    </row>
    <row r="51" spans="1:9" ht="15">
      <c r="A51" s="176"/>
      <c r="B51" s="176"/>
      <c r="C51" s="176"/>
      <c r="D51" s="176"/>
      <c r="E51" s="176"/>
      <c r="F51" s="176"/>
      <c r="G51" s="176"/>
      <c r="H51" s="176"/>
      <c r="I51" s="176"/>
    </row>
    <row r="52" spans="1:9" ht="15">
      <c r="A52" s="176"/>
      <c r="B52" s="176"/>
      <c r="C52" s="176"/>
      <c r="D52" s="176"/>
      <c r="E52" s="176"/>
      <c r="F52" s="176"/>
      <c r="G52" s="176"/>
      <c r="H52" s="176"/>
      <c r="I52" s="176"/>
    </row>
    <row r="53" spans="1:9" ht="15">
      <c r="A53" s="176"/>
      <c r="B53" s="176"/>
      <c r="C53" s="176"/>
      <c r="D53" s="176"/>
      <c r="E53" s="176"/>
      <c r="F53" s="176"/>
      <c r="G53" s="176"/>
      <c r="H53" s="176"/>
      <c r="I53" s="176"/>
    </row>
    <row r="54" spans="1:9" ht="15">
      <c r="A54" s="176"/>
      <c r="B54" s="176"/>
      <c r="C54" s="176"/>
      <c r="D54" s="176"/>
      <c r="E54" s="176"/>
      <c r="F54" s="176"/>
      <c r="G54" s="176"/>
      <c r="H54" s="176"/>
      <c r="I54" s="176"/>
    </row>
    <row r="55" spans="1:9" ht="1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15">
      <c r="A56" s="176"/>
      <c r="B56" s="176"/>
      <c r="C56" s="176"/>
      <c r="D56" s="176"/>
      <c r="E56" s="176"/>
      <c r="F56" s="176"/>
      <c r="G56" s="176"/>
      <c r="H56" s="176"/>
      <c r="I56" s="176"/>
    </row>
    <row r="57" spans="1:9" ht="15">
      <c r="A57" s="176"/>
      <c r="B57" s="176"/>
      <c r="C57" s="176"/>
      <c r="D57" s="176"/>
      <c r="E57" s="176"/>
      <c r="F57" s="176"/>
      <c r="G57" s="176"/>
      <c r="H57" s="176"/>
      <c r="I57" s="176"/>
    </row>
    <row r="58" spans="1:9" ht="12.75">
      <c r="A58" s="176"/>
      <c r="B58" s="176"/>
      <c r="C58" s="176"/>
      <c r="D58" s="176"/>
      <c r="E58" s="176"/>
      <c r="F58" s="176"/>
      <c r="G58" s="176"/>
      <c r="H58" s="176"/>
      <c r="I58" s="176"/>
    </row>
    <row r="59" spans="1:9" ht="15">
      <c r="A59" s="176"/>
      <c r="B59" s="176"/>
      <c r="C59" s="176"/>
      <c r="D59" s="176"/>
      <c r="E59" s="176"/>
      <c r="F59" s="176"/>
      <c r="G59" s="176"/>
      <c r="H59" s="176"/>
      <c r="I59" s="176"/>
    </row>
    <row r="60" spans="1:9" ht="12.75">
      <c r="A60" s="176"/>
      <c r="B60" s="176"/>
      <c r="C60" s="176"/>
      <c r="D60" s="176"/>
      <c r="E60" s="176"/>
      <c r="F60" s="176"/>
      <c r="G60" s="176"/>
      <c r="H60" s="176"/>
      <c r="I60" s="176"/>
    </row>
    <row r="61" spans="1:9" ht="15">
      <c r="A61" s="176"/>
      <c r="B61" s="176"/>
      <c r="C61" s="176"/>
      <c r="D61" s="176"/>
      <c r="E61" s="176"/>
      <c r="F61" s="176"/>
      <c r="G61" s="176"/>
      <c r="H61" s="176"/>
      <c r="I61" s="176"/>
    </row>
    <row r="62" spans="1:9" ht="15">
      <c r="A62" s="176"/>
      <c r="B62" s="176"/>
      <c r="C62" s="176"/>
      <c r="D62" s="176"/>
      <c r="E62" s="176"/>
      <c r="F62" s="176"/>
      <c r="G62" s="176"/>
      <c r="H62" s="176"/>
      <c r="I62" s="176"/>
    </row>
    <row r="63" spans="1:9" ht="15">
      <c r="A63" s="176"/>
      <c r="B63" s="176"/>
      <c r="C63" s="176"/>
      <c r="D63" s="176"/>
      <c r="E63" s="176"/>
      <c r="F63" s="176"/>
      <c r="G63" s="176"/>
      <c r="H63" s="176"/>
      <c r="I63" s="176"/>
    </row>
    <row r="64" spans="1:9" ht="15">
      <c r="A64" s="176"/>
      <c r="B64" s="176"/>
      <c r="C64" s="176"/>
      <c r="D64" s="176"/>
      <c r="E64" s="176"/>
      <c r="F64" s="176"/>
      <c r="G64" s="176"/>
      <c r="H64" s="176"/>
      <c r="I64" s="176"/>
    </row>
    <row r="65" spans="1:9" ht="15">
      <c r="A65" s="176"/>
      <c r="B65" s="176"/>
      <c r="C65" s="176"/>
      <c r="D65" s="176"/>
      <c r="E65" s="176"/>
      <c r="F65" s="176"/>
      <c r="G65" s="176"/>
      <c r="H65" s="176"/>
      <c r="I65" s="176"/>
    </row>
    <row r="66" spans="1:9" ht="15">
      <c r="A66" s="176"/>
      <c r="B66" s="176"/>
      <c r="C66" s="176"/>
      <c r="D66" s="176"/>
      <c r="E66" s="176"/>
      <c r="F66" s="176"/>
      <c r="G66" s="176"/>
      <c r="H66" s="176"/>
      <c r="I66" s="176"/>
    </row>
    <row r="67" spans="1:9" ht="15">
      <c r="A67" s="176"/>
      <c r="B67" s="176"/>
      <c r="C67" s="176"/>
      <c r="D67" s="176"/>
      <c r="E67" s="176"/>
      <c r="F67" s="176"/>
      <c r="G67" s="176"/>
      <c r="H67" s="176"/>
      <c r="I67" s="176"/>
    </row>
    <row r="68" spans="1:9" ht="15">
      <c r="A68" s="176"/>
      <c r="B68" s="176"/>
      <c r="C68" s="176"/>
      <c r="D68" s="176"/>
      <c r="E68" s="176"/>
      <c r="F68" s="176"/>
      <c r="G68" s="176"/>
      <c r="H68" s="176"/>
      <c r="I68" s="176"/>
    </row>
    <row r="69" spans="1:9" ht="15">
      <c r="A69" s="176"/>
      <c r="B69" s="176"/>
      <c r="C69" s="176"/>
      <c r="D69" s="176"/>
      <c r="E69" s="176"/>
      <c r="F69" s="176"/>
      <c r="G69" s="176"/>
      <c r="H69" s="176"/>
      <c r="I69" s="176"/>
    </row>
    <row r="70" spans="1:9" ht="15">
      <c r="A70" s="176"/>
      <c r="B70" s="176"/>
      <c r="C70" s="176"/>
      <c r="D70" s="176"/>
      <c r="E70" s="176"/>
      <c r="F70" s="176"/>
      <c r="G70" s="176"/>
      <c r="H70" s="176"/>
      <c r="I70" s="176"/>
    </row>
    <row r="71" spans="1:9" ht="15">
      <c r="A71" s="176"/>
      <c r="B71" s="176"/>
      <c r="C71" s="176"/>
      <c r="D71" s="176"/>
      <c r="E71" s="176"/>
      <c r="F71" s="176"/>
      <c r="G71" s="176"/>
      <c r="H71" s="176"/>
      <c r="I71" s="176"/>
    </row>
    <row r="72" spans="1:9" ht="46.15" customHeight="1">
      <c r="A72" s="420" t="s">
        <v>39</v>
      </c>
      <c r="B72" s="420"/>
      <c r="C72" s="420"/>
      <c r="D72" s="420"/>
      <c r="E72" s="420"/>
      <c r="F72" s="420"/>
      <c r="G72" s="420"/>
      <c r="H72" s="420"/>
      <c r="I72" s="420"/>
    </row>
    <row r="73" spans="1:9" ht="15">
      <c r="A73" s="176"/>
      <c r="B73" s="176"/>
      <c r="C73" s="176"/>
      <c r="D73" s="176"/>
      <c r="E73" s="176"/>
      <c r="F73" s="176"/>
      <c r="G73" s="176"/>
      <c r="H73" s="176"/>
      <c r="I73" s="176"/>
    </row>
    <row r="74" spans="1:9" ht="15">
      <c r="A74" s="176"/>
      <c r="B74" s="176"/>
      <c r="C74" s="176"/>
      <c r="D74" s="176"/>
      <c r="E74" s="176"/>
      <c r="F74" s="176"/>
      <c r="G74" s="176"/>
      <c r="H74" s="176"/>
      <c r="I74" s="176"/>
    </row>
    <row r="75" spans="1:9" ht="15">
      <c r="A75" s="176"/>
      <c r="B75" s="176"/>
      <c r="C75" s="176"/>
      <c r="D75" s="176"/>
      <c r="E75" s="176"/>
      <c r="F75" s="176"/>
      <c r="G75" s="176"/>
      <c r="H75" s="176"/>
      <c r="I75" s="176"/>
    </row>
    <row r="76" spans="1:9" ht="15">
      <c r="A76" s="176"/>
      <c r="B76" s="176"/>
      <c r="C76" s="176"/>
      <c r="D76" s="176"/>
      <c r="E76" s="176"/>
      <c r="F76" s="176"/>
      <c r="G76" s="176"/>
      <c r="H76" s="176"/>
      <c r="I76" s="176"/>
    </row>
    <row r="77" spans="1:9" ht="15">
      <c r="A77" s="176"/>
      <c r="B77" s="176"/>
      <c r="C77" s="176"/>
      <c r="D77" s="176"/>
      <c r="E77" s="176"/>
      <c r="F77" s="176"/>
      <c r="G77" s="176"/>
      <c r="H77" s="176"/>
      <c r="I77" s="176"/>
    </row>
    <row r="78" spans="1:9" ht="15">
      <c r="A78" s="176"/>
      <c r="B78" s="176"/>
      <c r="C78" s="176"/>
      <c r="D78" s="176"/>
      <c r="E78" s="176"/>
      <c r="F78" s="176"/>
      <c r="G78" s="176"/>
      <c r="H78" s="176"/>
      <c r="I78" s="176"/>
    </row>
    <row r="79" spans="1:9" ht="15">
      <c r="A79" s="176"/>
      <c r="B79" s="176"/>
      <c r="C79" s="176"/>
      <c r="D79" s="176"/>
      <c r="E79" s="176"/>
      <c r="F79" s="176"/>
      <c r="G79" s="176"/>
      <c r="H79" s="176"/>
      <c r="I79" s="176"/>
    </row>
    <row r="80" spans="1:9" ht="15">
      <c r="A80" s="176"/>
      <c r="B80" s="176"/>
      <c r="C80" s="176"/>
      <c r="D80" s="176"/>
      <c r="E80" s="176"/>
      <c r="F80" s="176"/>
      <c r="G80" s="176"/>
      <c r="H80" s="176"/>
      <c r="I80" s="176"/>
    </row>
    <row r="81" spans="1:9" ht="15">
      <c r="A81" s="176"/>
      <c r="B81" s="176"/>
      <c r="C81" s="176"/>
      <c r="D81" s="176"/>
      <c r="E81" s="176"/>
      <c r="F81" s="176"/>
      <c r="G81" s="176"/>
      <c r="H81" s="176"/>
      <c r="I81" s="176"/>
    </row>
    <row r="82" spans="1:9" ht="15">
      <c r="A82" s="176"/>
      <c r="B82" s="176"/>
      <c r="C82" s="176"/>
      <c r="D82" s="176"/>
      <c r="E82" s="176"/>
      <c r="F82" s="176"/>
      <c r="G82" s="176"/>
      <c r="H82" s="176"/>
      <c r="I82" s="176"/>
    </row>
    <row r="83" spans="1:9" ht="15">
      <c r="A83" s="176"/>
      <c r="B83" s="176"/>
      <c r="C83" s="176"/>
      <c r="D83" s="176"/>
      <c r="E83" s="176"/>
      <c r="F83" s="176"/>
      <c r="G83" s="176"/>
      <c r="H83" s="176"/>
      <c r="I83" s="176"/>
    </row>
    <row r="84" spans="1:9" ht="15">
      <c r="A84" s="176"/>
      <c r="B84" s="176"/>
      <c r="C84" s="176"/>
      <c r="D84" s="176"/>
      <c r="E84" s="176"/>
      <c r="F84" s="176"/>
      <c r="G84" s="176"/>
      <c r="H84" s="176"/>
      <c r="I84" s="176"/>
    </row>
    <row r="85" spans="1:9" ht="15">
      <c r="A85" s="176"/>
      <c r="B85" s="176"/>
      <c r="C85" s="176"/>
      <c r="D85" s="176"/>
      <c r="E85" s="176"/>
      <c r="F85" s="176"/>
      <c r="G85" s="176"/>
      <c r="H85" s="176"/>
      <c r="I85" s="176"/>
    </row>
    <row r="86" spans="1:9" ht="15">
      <c r="A86" s="176"/>
      <c r="B86" s="176"/>
      <c r="C86" s="176"/>
      <c r="D86" s="176"/>
      <c r="E86" s="176"/>
      <c r="F86" s="176"/>
      <c r="G86" s="176"/>
      <c r="H86" s="176"/>
      <c r="I86" s="176"/>
    </row>
    <row r="87" spans="1:9" ht="15">
      <c r="A87" s="176"/>
      <c r="B87" s="176"/>
      <c r="C87" s="176"/>
      <c r="D87" s="176"/>
      <c r="E87" s="176"/>
      <c r="F87" s="176"/>
      <c r="G87" s="176"/>
      <c r="H87" s="176"/>
      <c r="I87" s="176"/>
    </row>
    <row r="88" spans="1:9" ht="15">
      <c r="A88" s="176"/>
      <c r="B88" s="176"/>
      <c r="C88" s="176"/>
      <c r="D88" s="176"/>
      <c r="E88" s="176"/>
      <c r="F88" s="176"/>
      <c r="G88" s="176"/>
      <c r="H88" s="176"/>
      <c r="I88" s="176"/>
    </row>
    <row r="89" spans="1:9" ht="15">
      <c r="A89" s="176"/>
      <c r="B89" s="176"/>
      <c r="C89" s="176"/>
      <c r="D89" s="176"/>
      <c r="E89" s="176"/>
      <c r="F89" s="176"/>
      <c r="G89" s="176"/>
      <c r="H89" s="176"/>
      <c r="I89" s="176"/>
    </row>
    <row r="90" spans="1:9" ht="15">
      <c r="A90" s="176"/>
      <c r="B90" s="176"/>
      <c r="C90" s="176"/>
      <c r="D90" s="176"/>
      <c r="E90" s="176"/>
      <c r="F90" s="176"/>
      <c r="G90" s="176"/>
      <c r="H90" s="176"/>
      <c r="I90" s="176"/>
    </row>
    <row r="91" spans="1:9" ht="15">
      <c r="A91" s="176"/>
      <c r="B91" s="176"/>
      <c r="C91" s="176"/>
      <c r="D91" s="176"/>
      <c r="E91" s="176"/>
      <c r="F91" s="176"/>
      <c r="G91" s="176"/>
      <c r="H91" s="176"/>
      <c r="I91" s="176"/>
    </row>
    <row r="92" spans="1:9" ht="15">
      <c r="A92" s="176"/>
      <c r="B92" s="176"/>
      <c r="C92" s="176"/>
      <c r="D92" s="176"/>
      <c r="E92" s="176"/>
      <c r="F92" s="176"/>
      <c r="G92" s="176"/>
      <c r="H92" s="176"/>
      <c r="I92" s="176"/>
    </row>
    <row r="93" spans="1:9" ht="15">
      <c r="A93" s="176"/>
      <c r="B93" s="176"/>
      <c r="C93" s="176"/>
      <c r="D93" s="176"/>
      <c r="E93" s="176"/>
      <c r="F93" s="176"/>
      <c r="G93" s="176"/>
      <c r="H93" s="176"/>
      <c r="I93" s="176"/>
    </row>
    <row r="94" spans="1:9" ht="15">
      <c r="A94" s="176"/>
      <c r="B94" s="176"/>
      <c r="C94" s="176"/>
      <c r="D94" s="176"/>
      <c r="E94" s="176"/>
      <c r="F94" s="176"/>
      <c r="G94" s="176"/>
      <c r="H94" s="176"/>
      <c r="I94" s="176"/>
    </row>
    <row r="95" spans="1:9" ht="15">
      <c r="A95" s="176"/>
      <c r="B95" s="176"/>
      <c r="C95" s="176"/>
      <c r="D95" s="176"/>
      <c r="E95" s="176"/>
      <c r="F95" s="176"/>
      <c r="G95" s="176"/>
      <c r="H95" s="176"/>
      <c r="I95" s="176"/>
    </row>
    <row r="96" spans="1:9" ht="15">
      <c r="A96" s="176"/>
      <c r="B96" s="176"/>
      <c r="C96" s="176"/>
      <c r="D96" s="176"/>
      <c r="E96" s="176"/>
      <c r="F96" s="176"/>
      <c r="G96" s="176"/>
      <c r="H96" s="176"/>
      <c r="I96" s="176"/>
    </row>
    <row r="97" spans="1:9" ht="15">
      <c r="A97" s="176"/>
      <c r="B97" s="176"/>
      <c r="C97" s="176"/>
      <c r="D97" s="176"/>
      <c r="E97" s="176"/>
      <c r="F97" s="176"/>
      <c r="G97" s="176"/>
      <c r="H97" s="176"/>
      <c r="I97" s="176"/>
    </row>
    <row r="98" spans="1:9" ht="15">
      <c r="A98" s="176"/>
      <c r="B98" s="176"/>
      <c r="C98" s="176"/>
      <c r="D98" s="176"/>
      <c r="E98" s="176"/>
      <c r="F98" s="176"/>
      <c r="G98" s="176"/>
      <c r="H98" s="176"/>
      <c r="I98" s="176"/>
    </row>
    <row r="99" spans="1:9" ht="15">
      <c r="A99" s="176"/>
      <c r="B99" s="176"/>
      <c r="C99" s="176"/>
      <c r="D99" s="176"/>
      <c r="E99" s="176"/>
      <c r="F99" s="176"/>
      <c r="G99" s="176"/>
      <c r="H99" s="176"/>
      <c r="I99" s="176"/>
    </row>
    <row r="100" spans="1:9" ht="13.5">
      <c r="A100" s="178"/>
      <c r="B100" s="178"/>
      <c r="C100" s="178"/>
      <c r="D100" s="178"/>
      <c r="E100" s="178"/>
      <c r="F100" s="178"/>
      <c r="G100" s="178"/>
      <c r="H100" s="178"/>
      <c r="I100" s="178"/>
    </row>
    <row r="101" spans="1:9" ht="13.5">
      <c r="A101" s="178"/>
      <c r="B101" s="178"/>
      <c r="C101" s="178"/>
      <c r="D101" s="178"/>
      <c r="E101" s="178"/>
      <c r="F101" s="178"/>
      <c r="G101" s="178"/>
      <c r="H101" s="178"/>
      <c r="I101" s="178"/>
    </row>
    <row r="102" spans="1:9" ht="13.5">
      <c r="A102" s="178"/>
      <c r="B102" s="178"/>
      <c r="C102" s="178"/>
      <c r="D102" s="178"/>
      <c r="E102" s="178"/>
      <c r="F102" s="178"/>
      <c r="G102" s="178"/>
      <c r="H102" s="178"/>
      <c r="I102" s="178"/>
    </row>
    <row r="103" spans="1:9" ht="13.5">
      <c r="A103" s="178"/>
      <c r="B103" s="178"/>
      <c r="C103" s="178"/>
      <c r="D103" s="178"/>
      <c r="E103" s="178"/>
      <c r="F103" s="178"/>
      <c r="G103" s="178"/>
      <c r="H103" s="178"/>
      <c r="I103" s="178"/>
    </row>
    <row r="104" spans="1:9" ht="13.5">
      <c r="A104" s="178"/>
      <c r="B104" s="178"/>
      <c r="C104" s="178"/>
      <c r="D104" s="178"/>
      <c r="E104" s="178"/>
      <c r="F104" s="178"/>
      <c r="G104" s="178"/>
      <c r="H104" s="178"/>
      <c r="I104" s="178"/>
    </row>
    <row r="105" spans="1:9" ht="13.5">
      <c r="A105" s="178"/>
      <c r="B105" s="178"/>
      <c r="C105" s="178"/>
      <c r="D105" s="178"/>
      <c r="E105" s="178"/>
      <c r="F105" s="178"/>
      <c r="G105" s="178"/>
      <c r="H105" s="178"/>
      <c r="I105" s="178"/>
    </row>
    <row r="106" spans="1:9" ht="13.5">
      <c r="A106" s="178"/>
      <c r="B106" s="178"/>
      <c r="C106" s="178"/>
      <c r="D106" s="178"/>
      <c r="E106" s="178"/>
      <c r="F106" s="178"/>
      <c r="G106" s="178"/>
      <c r="H106" s="178"/>
      <c r="I106" s="178"/>
    </row>
    <row r="107" spans="1:9" ht="13.5">
      <c r="A107" s="178"/>
      <c r="B107" s="178"/>
      <c r="C107" s="178"/>
      <c r="D107" s="178"/>
      <c r="E107" s="178"/>
      <c r="F107" s="178"/>
      <c r="G107" s="178"/>
      <c r="H107" s="178"/>
      <c r="I107" s="178"/>
    </row>
    <row r="108" spans="1:9" ht="13.5">
      <c r="A108" s="178"/>
      <c r="B108" s="178"/>
      <c r="C108" s="178"/>
      <c r="D108" s="178"/>
      <c r="E108" s="178"/>
      <c r="F108" s="178"/>
      <c r="G108" s="178"/>
      <c r="H108" s="178"/>
      <c r="I108" s="178"/>
    </row>
    <row r="109" spans="1:9" ht="13.5">
      <c r="A109" s="178"/>
      <c r="B109" s="178"/>
      <c r="C109" s="178"/>
      <c r="D109" s="178"/>
      <c r="E109" s="178"/>
      <c r="F109" s="178"/>
      <c r="G109" s="178"/>
      <c r="H109" s="178"/>
      <c r="I109" s="178"/>
    </row>
    <row r="110" spans="1:9" ht="13.5">
      <c r="A110" s="178"/>
      <c r="B110" s="178"/>
      <c r="C110" s="178"/>
      <c r="D110" s="178"/>
      <c r="E110" s="178"/>
      <c r="F110" s="178"/>
      <c r="G110" s="178"/>
      <c r="H110" s="178"/>
      <c r="I110" s="178"/>
    </row>
    <row r="111" spans="1:9" ht="13.5">
      <c r="A111" s="178"/>
      <c r="B111" s="178"/>
      <c r="C111" s="178"/>
      <c r="D111" s="178"/>
      <c r="E111" s="178"/>
      <c r="F111" s="178"/>
      <c r="G111" s="178"/>
      <c r="H111" s="178"/>
      <c r="I111" s="178"/>
    </row>
    <row r="112" spans="1:9" ht="13.5">
      <c r="A112" s="178"/>
      <c r="B112" s="178"/>
      <c r="C112" s="178"/>
      <c r="D112" s="178"/>
      <c r="E112" s="178"/>
      <c r="F112" s="178"/>
      <c r="G112" s="178"/>
      <c r="H112" s="178"/>
      <c r="I112" s="178"/>
    </row>
    <row r="113" spans="1:9" ht="13.5">
      <c r="A113" s="178"/>
      <c r="B113" s="178"/>
      <c r="C113" s="178"/>
      <c r="D113" s="178"/>
      <c r="E113" s="178"/>
      <c r="F113" s="178"/>
      <c r="G113" s="178"/>
      <c r="H113" s="178"/>
      <c r="I113" s="178"/>
    </row>
    <row r="114" spans="1:9" ht="13.5">
      <c r="A114" s="178"/>
      <c r="B114" s="178"/>
      <c r="C114" s="178"/>
      <c r="D114" s="178"/>
      <c r="E114" s="178"/>
      <c r="F114" s="178"/>
      <c r="G114" s="178"/>
      <c r="H114" s="178"/>
      <c r="I114" s="178"/>
    </row>
    <row r="115" spans="1:9" ht="13.5">
      <c r="A115" s="178"/>
      <c r="B115" s="178"/>
      <c r="C115" s="178"/>
      <c r="D115" s="178"/>
      <c r="E115" s="178"/>
      <c r="F115" s="178"/>
      <c r="G115" s="178"/>
      <c r="H115" s="178"/>
      <c r="I115" s="178"/>
    </row>
    <row r="116" spans="1:9" ht="13.5">
      <c r="A116" s="178"/>
      <c r="B116" s="178"/>
      <c r="C116" s="178"/>
      <c r="D116" s="178"/>
      <c r="E116" s="178"/>
      <c r="F116" s="178"/>
      <c r="G116" s="178"/>
      <c r="H116" s="178"/>
      <c r="I116" s="178"/>
    </row>
    <row r="117" spans="1:9" ht="13.5">
      <c r="A117" s="178"/>
      <c r="B117" s="178"/>
      <c r="C117" s="178"/>
      <c r="D117" s="178"/>
      <c r="E117" s="178"/>
      <c r="F117" s="178"/>
      <c r="G117" s="178"/>
      <c r="H117" s="178"/>
      <c r="I117" s="178"/>
    </row>
    <row r="118" spans="1:9" ht="13.5">
      <c r="A118" s="178"/>
      <c r="B118" s="178"/>
      <c r="C118" s="178"/>
      <c r="D118" s="178"/>
      <c r="E118" s="178"/>
      <c r="F118" s="178"/>
      <c r="G118" s="178"/>
      <c r="H118" s="178"/>
      <c r="I118" s="178"/>
    </row>
    <row r="119" spans="1:9" ht="13.5">
      <c r="A119" s="178"/>
      <c r="B119" s="178"/>
      <c r="C119" s="178"/>
      <c r="D119" s="178"/>
      <c r="E119" s="178"/>
      <c r="F119" s="178"/>
      <c r="G119" s="178"/>
      <c r="H119" s="178"/>
      <c r="I119" s="178"/>
    </row>
    <row r="120" spans="1:9" ht="13.5">
      <c r="A120" s="178"/>
      <c r="B120" s="178"/>
      <c r="C120" s="178"/>
      <c r="D120" s="178"/>
      <c r="E120" s="178"/>
      <c r="F120" s="178"/>
      <c r="G120" s="178"/>
      <c r="H120" s="178"/>
      <c r="I120" s="178"/>
    </row>
    <row r="121" spans="1:9" ht="13.5">
      <c r="A121" s="178"/>
      <c r="B121" s="178"/>
      <c r="C121" s="178"/>
      <c r="D121" s="178"/>
      <c r="E121" s="178"/>
      <c r="F121" s="178"/>
      <c r="G121" s="178"/>
      <c r="H121" s="178"/>
      <c r="I121" s="178"/>
    </row>
    <row r="122" spans="1:9" ht="13.5">
      <c r="A122" s="178"/>
      <c r="B122" s="178"/>
      <c r="C122" s="178"/>
      <c r="D122" s="178"/>
      <c r="E122" s="178"/>
      <c r="F122" s="178"/>
      <c r="G122" s="178"/>
      <c r="H122" s="178"/>
      <c r="I122" s="178"/>
    </row>
    <row r="123" spans="1:9" ht="13.5">
      <c r="A123" s="178"/>
      <c r="B123" s="178"/>
      <c r="C123" s="178"/>
      <c r="D123" s="178"/>
      <c r="E123" s="178"/>
      <c r="F123" s="178"/>
      <c r="G123" s="178"/>
      <c r="H123" s="178"/>
      <c r="I123" s="178"/>
    </row>
    <row r="124" spans="1:9" ht="13.5">
      <c r="A124" s="178"/>
      <c r="B124" s="178"/>
      <c r="C124" s="178"/>
      <c r="D124" s="178"/>
      <c r="E124" s="178"/>
      <c r="F124" s="178"/>
      <c r="G124" s="178"/>
      <c r="H124" s="178"/>
      <c r="I124" s="178"/>
    </row>
    <row r="125" spans="1:9" ht="13.5">
      <c r="A125" s="178"/>
      <c r="B125" s="178"/>
      <c r="C125" s="178"/>
      <c r="D125" s="178"/>
      <c r="E125" s="178"/>
      <c r="F125" s="178"/>
      <c r="G125" s="178"/>
      <c r="H125" s="178"/>
      <c r="I125" s="178"/>
    </row>
    <row r="126" spans="1:9" ht="13.5">
      <c r="A126" s="178"/>
      <c r="B126" s="178"/>
      <c r="C126" s="178"/>
      <c r="D126" s="178"/>
      <c r="E126" s="178"/>
      <c r="F126" s="178"/>
      <c r="G126" s="178"/>
      <c r="H126" s="178"/>
      <c r="I126" s="178"/>
    </row>
    <row r="127" spans="1:9" ht="13.5">
      <c r="A127" s="178"/>
      <c r="B127" s="178"/>
      <c r="C127" s="178"/>
      <c r="D127" s="178"/>
      <c r="E127" s="178"/>
      <c r="F127" s="178"/>
      <c r="G127" s="178"/>
      <c r="H127" s="178"/>
      <c r="I127" s="178"/>
    </row>
    <row r="128" spans="1:9" ht="13.5">
      <c r="A128" s="178"/>
      <c r="B128" s="178"/>
      <c r="C128" s="178"/>
      <c r="D128" s="178"/>
      <c r="E128" s="178"/>
      <c r="F128" s="178"/>
      <c r="G128" s="178"/>
      <c r="H128" s="178"/>
      <c r="I128" s="178"/>
    </row>
    <row r="129" spans="1:9" ht="13.5">
      <c r="A129" s="178"/>
      <c r="B129" s="178"/>
      <c r="C129" s="178"/>
      <c r="D129" s="178"/>
      <c r="E129" s="178"/>
      <c r="F129" s="178"/>
      <c r="G129" s="178"/>
      <c r="H129" s="178"/>
      <c r="I129" s="178"/>
    </row>
    <row r="130" spans="1:9" ht="13.5">
      <c r="A130" s="178"/>
      <c r="B130" s="178"/>
      <c r="C130" s="178"/>
      <c r="D130" s="178"/>
      <c r="E130" s="178"/>
      <c r="F130" s="178"/>
      <c r="G130" s="178"/>
      <c r="H130" s="178"/>
      <c r="I130" s="178"/>
    </row>
    <row r="131" spans="1:9" ht="13.5">
      <c r="A131" s="178"/>
      <c r="B131" s="178"/>
      <c r="C131" s="178"/>
      <c r="D131" s="178"/>
      <c r="E131" s="178"/>
      <c r="F131" s="178"/>
      <c r="G131" s="178"/>
      <c r="H131" s="178"/>
      <c r="I131" s="178"/>
    </row>
    <row r="132" spans="1:9" ht="13.5">
      <c r="A132" s="178"/>
      <c r="B132" s="178"/>
      <c r="C132" s="178"/>
      <c r="D132" s="178"/>
      <c r="E132" s="178"/>
      <c r="F132" s="178"/>
      <c r="G132" s="178"/>
      <c r="H132" s="178"/>
      <c r="I132" s="178"/>
    </row>
    <row r="133" spans="1:9" ht="13.5">
      <c r="A133" s="178"/>
      <c r="B133" s="178"/>
      <c r="C133" s="178"/>
      <c r="D133" s="178"/>
      <c r="E133" s="178"/>
      <c r="F133" s="178"/>
      <c r="G133" s="178"/>
      <c r="H133" s="178"/>
      <c r="I133" s="178"/>
    </row>
    <row r="134" spans="1:9" ht="13.5">
      <c r="A134" s="178"/>
      <c r="B134" s="178"/>
      <c r="C134" s="178"/>
      <c r="D134" s="178"/>
      <c r="E134" s="178"/>
      <c r="F134" s="178"/>
      <c r="G134" s="178"/>
      <c r="H134" s="178"/>
      <c r="I134" s="178"/>
    </row>
    <row r="135" spans="1:9" ht="13.5">
      <c r="A135" s="178"/>
      <c r="B135" s="178"/>
      <c r="C135" s="178"/>
      <c r="D135" s="178"/>
      <c r="E135" s="178"/>
      <c r="F135" s="178"/>
      <c r="G135" s="178"/>
      <c r="H135" s="178"/>
      <c r="I135" s="178"/>
    </row>
    <row r="136" spans="1:9" ht="13.5">
      <c r="A136" s="178"/>
      <c r="B136" s="178"/>
      <c r="C136" s="178"/>
      <c r="D136" s="178"/>
      <c r="E136" s="178"/>
      <c r="F136" s="178"/>
      <c r="G136" s="178"/>
      <c r="H136" s="178"/>
      <c r="I136" s="178"/>
    </row>
    <row r="137" spans="1:9" ht="13.5">
      <c r="A137" s="178"/>
      <c r="B137" s="178"/>
      <c r="C137" s="178"/>
      <c r="D137" s="178"/>
      <c r="E137" s="178"/>
      <c r="F137" s="178"/>
      <c r="G137" s="178"/>
      <c r="H137" s="178"/>
      <c r="I137" s="178"/>
    </row>
  </sheetData>
  <mergeCells count="39">
    <mergeCell ref="A1:I1"/>
    <mergeCell ref="A2:I2"/>
    <mergeCell ref="A3:I3"/>
    <mergeCell ref="A4:B4"/>
    <mergeCell ref="C4:E4"/>
    <mergeCell ref="G4:I4"/>
    <mergeCell ref="A5:B5"/>
    <mergeCell ref="C5:I5"/>
    <mergeCell ref="A6:B6"/>
    <mergeCell ref="C6:I6"/>
    <mergeCell ref="A7:B7"/>
    <mergeCell ref="C7:I7"/>
    <mergeCell ref="A8:B8"/>
    <mergeCell ref="C8:E8"/>
    <mergeCell ref="G8:I8"/>
    <mergeCell ref="B10:I10"/>
    <mergeCell ref="B11:H11"/>
    <mergeCell ref="B12:H12"/>
    <mergeCell ref="B13:H13"/>
    <mergeCell ref="B14:H14"/>
    <mergeCell ref="B15:H15"/>
    <mergeCell ref="B16:H16"/>
    <mergeCell ref="B18:I18"/>
    <mergeCell ref="B19:H19"/>
    <mergeCell ref="B20:H20"/>
    <mergeCell ref="B21:H21"/>
    <mergeCell ref="B22:H22"/>
    <mergeCell ref="A23:H23"/>
    <mergeCell ref="A24:I24"/>
    <mergeCell ref="A25:H25"/>
    <mergeCell ref="A28:I28"/>
    <mergeCell ref="A29:I29"/>
    <mergeCell ref="A36:I36"/>
    <mergeCell ref="A72:I72"/>
    <mergeCell ref="A30:I30"/>
    <mergeCell ref="A31:I31"/>
    <mergeCell ref="A32:I32"/>
    <mergeCell ref="A33:I33"/>
    <mergeCell ref="A35:I35"/>
  </mergeCells>
  <printOptions/>
  <pageMargins left="0.511811023622047" right="0.511811023622047" top="1.96850393700787" bottom="0.78740157480315" header="0.31496062992126" footer="0.31496062992126"/>
  <pageSetup fitToHeight="0" fitToWidth="1" horizontalDpi="600" verticalDpi="600" orientation="portrait" paperSize="9" r:id="rId3"/>
  <headerFooter>
    <oddHeader>&amp;C&amp;G</oddHeader>
    <oddFooter>&amp;CGL CONSTRUTORA LTDA
CNPJ: 05.214.984/0001-27
INSCRIÇÃO ESTADUAL: 15.265.127-6
Endereço: RAMAL DO DEZOITO, 100, SALA 01, KM 02, ZONA RURAL
CEP: 68.738-000 - SANTA MARIA DO PAR</oddFooter>
  </headerFooter>
  <rowBreaks count="1" manualBreakCount="1">
    <brk id="32" max="16383" man="1"/>
  </rowBreaks>
  <colBreaks count="1" manualBreakCount="1">
    <brk id="12" max="16383" man="1"/>
  </col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57"/>
  <sheetViews>
    <sheetView workbookViewId="0" topLeftCell="A31">
      <selection activeCell="B5" sqref="B5:F5"/>
    </sheetView>
  </sheetViews>
  <sheetFormatPr defaultColWidth="8.8515625" defaultRowHeight="15"/>
  <cols>
    <col min="1" max="1" width="22.8515625" style="127" customWidth="1"/>
    <col min="2" max="2" width="48.57421875" style="127" customWidth="1"/>
    <col min="3" max="6" width="13.8515625" style="127" customWidth="1"/>
    <col min="7" max="16384" width="8.8515625" style="128" customWidth="1"/>
  </cols>
  <sheetData>
    <row r="1" spans="1:6" ht="36.75" customHeight="1">
      <c r="A1" s="468"/>
      <c r="B1" s="468"/>
      <c r="C1" s="468"/>
      <c r="D1" s="468"/>
      <c r="E1" s="468"/>
      <c r="F1" s="468"/>
    </row>
    <row r="2" spans="1:6" ht="15">
      <c r="A2" s="469" t="s">
        <v>71</v>
      </c>
      <c r="B2" s="470"/>
      <c r="C2" s="470"/>
      <c r="D2" s="470"/>
      <c r="E2" s="470"/>
      <c r="F2" s="471"/>
    </row>
    <row r="3" spans="1:6" ht="15" customHeight="1">
      <c r="A3" s="129" t="str">
        <f>'[2]PANILHA NÃO DESONERADA'!A4:B4</f>
        <v>PROPONENTE</v>
      </c>
      <c r="B3" s="459" t="s">
        <v>363</v>
      </c>
      <c r="C3" s="459"/>
      <c r="D3" s="459"/>
      <c r="E3" s="459"/>
      <c r="F3" s="460"/>
    </row>
    <row r="4" spans="1:6" ht="26.45" customHeight="1">
      <c r="A4" s="129" t="str">
        <f>'[2]PANILHA NÃO DESONERADA'!A5:B5</f>
        <v>OBJETO</v>
      </c>
      <c r="B4" s="459" t="str">
        <f>Resumo!C3</f>
        <v xml:space="preserve">SERVIÇO DE APLICAÇÃO E COMPACTAÇÃO DE MASSA ASFÁLTICA (CBUQ) EM OPERAÇÃO PARA TAPA BURACOS, COM FORNECIMENTO DE MATERIAL. </v>
      </c>
      <c r="C4" s="459"/>
      <c r="D4" s="459"/>
      <c r="E4" s="459"/>
      <c r="F4" s="460"/>
    </row>
    <row r="5" spans="1:6" ht="15" customHeight="1">
      <c r="A5" s="129" t="str">
        <f>'[2]PANILHA NÃO DESONERADA'!A6:B6</f>
        <v>ENDEREÇO OBRA</v>
      </c>
      <c r="B5" s="459" t="str">
        <f>Resumo!C4</f>
        <v>OURÉM PA</v>
      </c>
      <c r="C5" s="459"/>
      <c r="D5" s="459"/>
      <c r="E5" s="459"/>
      <c r="F5" s="460"/>
    </row>
    <row r="6" spans="1:6" ht="15" customHeight="1">
      <c r="A6" s="129" t="s">
        <v>11</v>
      </c>
      <c r="B6" s="459" t="s">
        <v>12</v>
      </c>
      <c r="C6" s="459"/>
      <c r="D6" s="459"/>
      <c r="E6" s="459"/>
      <c r="F6" s="460"/>
    </row>
    <row r="7" spans="1:6" ht="15" customHeight="1">
      <c r="A7" s="130" t="str">
        <f>'[2]PANILHA NÃO DESONERADA'!F7</f>
        <v>REGISTRO</v>
      </c>
      <c r="B7" s="461" t="s">
        <v>364</v>
      </c>
      <c r="C7" s="461"/>
      <c r="D7" s="461"/>
      <c r="E7" s="461"/>
      <c r="F7" s="462"/>
    </row>
    <row r="8" spans="1:6" ht="5.45" customHeight="1">
      <c r="A8" s="131"/>
      <c r="B8" s="131"/>
      <c r="C8" s="132"/>
      <c r="D8" s="132"/>
      <c r="E8" s="132"/>
      <c r="F8" s="132"/>
    </row>
    <row r="9" spans="1:6" ht="15">
      <c r="A9" s="463" t="s">
        <v>72</v>
      </c>
      <c r="B9" s="464"/>
      <c r="C9" s="464"/>
      <c r="D9" s="464"/>
      <c r="E9" s="464"/>
      <c r="F9" s="465"/>
    </row>
    <row r="10" spans="1:6" ht="15">
      <c r="A10" s="448" t="s">
        <v>73</v>
      </c>
      <c r="B10" s="450" t="s">
        <v>74</v>
      </c>
      <c r="C10" s="466" t="s">
        <v>75</v>
      </c>
      <c r="D10" s="466"/>
      <c r="E10" s="466" t="s">
        <v>76</v>
      </c>
      <c r="F10" s="467"/>
    </row>
    <row r="11" spans="1:6" ht="30">
      <c r="A11" s="449"/>
      <c r="B11" s="451"/>
      <c r="C11" s="133" t="s">
        <v>77</v>
      </c>
      <c r="D11" s="133" t="s">
        <v>78</v>
      </c>
      <c r="E11" s="133" t="s">
        <v>79</v>
      </c>
      <c r="F11" s="134" t="s">
        <v>78</v>
      </c>
    </row>
    <row r="12" spans="1:6" ht="15">
      <c r="A12" s="452" t="s">
        <v>80</v>
      </c>
      <c r="B12" s="453"/>
      <c r="C12" s="453"/>
      <c r="D12" s="453"/>
      <c r="E12" s="453"/>
      <c r="F12" s="454"/>
    </row>
    <row r="13" spans="1:6" ht="15">
      <c r="A13" s="135" t="s">
        <v>81</v>
      </c>
      <c r="B13" s="136" t="s">
        <v>82</v>
      </c>
      <c r="C13" s="137">
        <v>0</v>
      </c>
      <c r="D13" s="137">
        <v>0</v>
      </c>
      <c r="E13" s="137">
        <v>0.2</v>
      </c>
      <c r="F13" s="138">
        <v>0.2</v>
      </c>
    </row>
    <row r="14" spans="1:6" ht="15">
      <c r="A14" s="135" t="s">
        <v>83</v>
      </c>
      <c r="B14" s="136" t="s">
        <v>84</v>
      </c>
      <c r="C14" s="137">
        <v>0.015</v>
      </c>
      <c r="D14" s="137">
        <v>0.015</v>
      </c>
      <c r="E14" s="137">
        <v>0.015</v>
      </c>
      <c r="F14" s="138">
        <v>0.015</v>
      </c>
    </row>
    <row r="15" spans="1:6" ht="15">
      <c r="A15" s="135" t="s">
        <v>85</v>
      </c>
      <c r="B15" s="136" t="s">
        <v>86</v>
      </c>
      <c r="C15" s="137">
        <v>0.01</v>
      </c>
      <c r="D15" s="137">
        <v>0.01</v>
      </c>
      <c r="E15" s="137">
        <v>0.01</v>
      </c>
      <c r="F15" s="138">
        <v>0.01</v>
      </c>
    </row>
    <row r="16" spans="1:6" ht="15">
      <c r="A16" s="135" t="s">
        <v>87</v>
      </c>
      <c r="B16" s="136" t="s">
        <v>88</v>
      </c>
      <c r="C16" s="137">
        <v>0.002</v>
      </c>
      <c r="D16" s="137">
        <v>0.002</v>
      </c>
      <c r="E16" s="137">
        <v>0.002</v>
      </c>
      <c r="F16" s="138">
        <v>0.002</v>
      </c>
    </row>
    <row r="17" spans="1:6" ht="15">
      <c r="A17" s="135" t="s">
        <v>89</v>
      </c>
      <c r="B17" s="136" t="s">
        <v>90</v>
      </c>
      <c r="C17" s="137">
        <v>0.006</v>
      </c>
      <c r="D17" s="137">
        <v>0.006</v>
      </c>
      <c r="E17" s="137">
        <v>0.006</v>
      </c>
      <c r="F17" s="138">
        <v>0.006</v>
      </c>
    </row>
    <row r="18" spans="1:6" ht="15">
      <c r="A18" s="135" t="s">
        <v>91</v>
      </c>
      <c r="B18" s="136" t="s">
        <v>92</v>
      </c>
      <c r="C18" s="137">
        <v>0.025</v>
      </c>
      <c r="D18" s="137">
        <v>0.025</v>
      </c>
      <c r="E18" s="137">
        <v>0.025</v>
      </c>
      <c r="F18" s="138">
        <v>0.025</v>
      </c>
    </row>
    <row r="19" spans="1:6" ht="15">
      <c r="A19" s="135" t="s">
        <v>93</v>
      </c>
      <c r="B19" s="139" t="s">
        <v>94</v>
      </c>
      <c r="C19" s="137">
        <v>0.03</v>
      </c>
      <c r="D19" s="137">
        <v>0.03</v>
      </c>
      <c r="E19" s="140">
        <v>0.03</v>
      </c>
      <c r="F19" s="141">
        <v>0.03</v>
      </c>
    </row>
    <row r="20" spans="1:6" ht="15">
      <c r="A20" s="135" t="s">
        <v>95</v>
      </c>
      <c r="B20" s="136" t="s">
        <v>96</v>
      </c>
      <c r="C20" s="137">
        <v>0.08</v>
      </c>
      <c r="D20" s="137">
        <v>0.08</v>
      </c>
      <c r="E20" s="137">
        <v>0.08</v>
      </c>
      <c r="F20" s="138">
        <v>0.08</v>
      </c>
    </row>
    <row r="21" spans="1:6" ht="15">
      <c r="A21" s="135" t="s">
        <v>97</v>
      </c>
      <c r="B21" s="136" t="s">
        <v>98</v>
      </c>
      <c r="C21" s="137">
        <v>0</v>
      </c>
      <c r="D21" s="137">
        <v>0</v>
      </c>
      <c r="E21" s="137">
        <v>0</v>
      </c>
      <c r="F21" s="138">
        <v>0</v>
      </c>
    </row>
    <row r="22" spans="1:6" ht="15">
      <c r="A22" s="142" t="s">
        <v>99</v>
      </c>
      <c r="B22" s="143" t="s">
        <v>100</v>
      </c>
      <c r="C22" s="144">
        <f>SUM(C13:C21)</f>
        <v>0.16799999999999998</v>
      </c>
      <c r="D22" s="144">
        <f>SUM(D13:D21)</f>
        <v>0.16799999999999998</v>
      </c>
      <c r="E22" s="144">
        <f>SUM(E13:E21)</f>
        <v>0.36800000000000005</v>
      </c>
      <c r="F22" s="145">
        <f>SUM(F13:F21)</f>
        <v>0.36800000000000005</v>
      </c>
    </row>
    <row r="23" spans="1:6" ht="15">
      <c r="A23" s="452" t="s">
        <v>101</v>
      </c>
      <c r="B23" s="453"/>
      <c r="C23" s="453"/>
      <c r="D23" s="453"/>
      <c r="E23" s="453"/>
      <c r="F23" s="454"/>
    </row>
    <row r="24" spans="1:6" ht="15">
      <c r="A24" s="135" t="s">
        <v>102</v>
      </c>
      <c r="B24" s="136" t="s">
        <v>103</v>
      </c>
      <c r="C24" s="137">
        <v>0.1814</v>
      </c>
      <c r="D24" s="146" t="s">
        <v>104</v>
      </c>
      <c r="E24" s="137">
        <v>0.1814</v>
      </c>
      <c r="F24" s="147" t="s">
        <v>104</v>
      </c>
    </row>
    <row r="25" spans="1:6" ht="15">
      <c r="A25" s="135" t="s">
        <v>105</v>
      </c>
      <c r="B25" s="139" t="s">
        <v>106</v>
      </c>
      <c r="C25" s="137">
        <v>0.0416</v>
      </c>
      <c r="D25" s="146" t="s">
        <v>104</v>
      </c>
      <c r="E25" s="137">
        <v>0.0416</v>
      </c>
      <c r="F25" s="147" t="s">
        <v>104</v>
      </c>
    </row>
    <row r="26" spans="1:6" ht="15">
      <c r="A26" s="135" t="s">
        <v>107</v>
      </c>
      <c r="B26" s="136" t="s">
        <v>108</v>
      </c>
      <c r="C26" s="137">
        <v>0.0093</v>
      </c>
      <c r="D26" s="137">
        <v>0.007</v>
      </c>
      <c r="E26" s="137">
        <v>0.0093</v>
      </c>
      <c r="F26" s="138">
        <v>0.007</v>
      </c>
    </row>
    <row r="27" spans="1:6" ht="15">
      <c r="A27" s="135" t="s">
        <v>109</v>
      </c>
      <c r="B27" s="136" t="s">
        <v>110</v>
      </c>
      <c r="C27" s="137">
        <v>0.111</v>
      </c>
      <c r="D27" s="137">
        <v>0.0833</v>
      </c>
      <c r="E27" s="137">
        <v>0.111</v>
      </c>
      <c r="F27" s="138">
        <v>0.0833</v>
      </c>
    </row>
    <row r="28" spans="1:6" ht="15">
      <c r="A28" s="135" t="s">
        <v>111</v>
      </c>
      <c r="B28" s="136" t="s">
        <v>112</v>
      </c>
      <c r="C28" s="137">
        <v>0.0007</v>
      </c>
      <c r="D28" s="137">
        <v>0.0005</v>
      </c>
      <c r="E28" s="137">
        <v>0.0007</v>
      </c>
      <c r="F28" s="138">
        <v>0.0005</v>
      </c>
    </row>
    <row r="29" spans="1:6" ht="15">
      <c r="A29" s="135" t="s">
        <v>113</v>
      </c>
      <c r="B29" s="136" t="s">
        <v>114</v>
      </c>
      <c r="C29" s="137">
        <v>0.0074</v>
      </c>
      <c r="D29" s="137">
        <v>0.0056</v>
      </c>
      <c r="E29" s="137">
        <v>0.0074</v>
      </c>
      <c r="F29" s="138">
        <v>0.0056</v>
      </c>
    </row>
    <row r="30" spans="1:6" ht="15">
      <c r="A30" s="135" t="s">
        <v>115</v>
      </c>
      <c r="B30" s="136" t="s">
        <v>116</v>
      </c>
      <c r="C30" s="137">
        <v>0.0283</v>
      </c>
      <c r="D30" s="146" t="s">
        <v>104</v>
      </c>
      <c r="E30" s="137">
        <v>0.0283</v>
      </c>
      <c r="F30" s="147" t="s">
        <v>104</v>
      </c>
    </row>
    <row r="31" spans="1:6" ht="15">
      <c r="A31" s="135" t="s">
        <v>117</v>
      </c>
      <c r="B31" s="136" t="s">
        <v>118</v>
      </c>
      <c r="C31" s="137">
        <v>0.0011</v>
      </c>
      <c r="D31" s="137">
        <v>0.0008</v>
      </c>
      <c r="E31" s="137">
        <v>0.0011</v>
      </c>
      <c r="F31" s="138">
        <v>0.0008</v>
      </c>
    </row>
    <row r="32" spans="1:6" ht="15">
      <c r="A32" s="135" t="s">
        <v>119</v>
      </c>
      <c r="B32" s="136" t="s">
        <v>120</v>
      </c>
      <c r="C32" s="137">
        <v>0.1086</v>
      </c>
      <c r="D32" s="137">
        <v>0.0815</v>
      </c>
      <c r="E32" s="137">
        <v>0.1086</v>
      </c>
      <c r="F32" s="138">
        <v>0.0815</v>
      </c>
    </row>
    <row r="33" spans="1:6" ht="15">
      <c r="A33" s="135" t="s">
        <v>121</v>
      </c>
      <c r="B33" s="136" t="s">
        <v>122</v>
      </c>
      <c r="C33" s="137">
        <v>0.0003</v>
      </c>
      <c r="D33" s="137">
        <v>0.0002</v>
      </c>
      <c r="E33" s="137">
        <v>0.0003</v>
      </c>
      <c r="F33" s="138">
        <v>0.0002</v>
      </c>
    </row>
    <row r="34" spans="1:6" ht="15">
      <c r="A34" s="148" t="s">
        <v>123</v>
      </c>
      <c r="B34" s="149" t="s">
        <v>100</v>
      </c>
      <c r="C34" s="150">
        <f>SUM(C24:C33)</f>
        <v>0.48969999999999997</v>
      </c>
      <c r="D34" s="150">
        <f>SUM(D24:D33)</f>
        <v>0.1789</v>
      </c>
      <c r="E34" s="150">
        <f>SUM(E24:E33)</f>
        <v>0.48969999999999997</v>
      </c>
      <c r="F34" s="151">
        <f>SUM(F24:F33)</f>
        <v>0.1789</v>
      </c>
    </row>
    <row r="35" spans="1:6" ht="15">
      <c r="A35" s="455" t="s">
        <v>124</v>
      </c>
      <c r="B35" s="456"/>
      <c r="C35" s="456"/>
      <c r="D35" s="456"/>
      <c r="E35" s="456"/>
      <c r="F35" s="457"/>
    </row>
    <row r="36" spans="1:6" ht="15">
      <c r="A36" s="152" t="s">
        <v>125</v>
      </c>
      <c r="B36" s="153" t="s">
        <v>126</v>
      </c>
      <c r="C36" s="154">
        <v>0.0714</v>
      </c>
      <c r="D36" s="154">
        <v>0.0536</v>
      </c>
      <c r="E36" s="154">
        <v>0.0714</v>
      </c>
      <c r="F36" s="155">
        <v>0.0536</v>
      </c>
    </row>
    <row r="37" spans="1:6" ht="15">
      <c r="A37" s="135" t="s">
        <v>127</v>
      </c>
      <c r="B37" s="136" t="s">
        <v>128</v>
      </c>
      <c r="C37" s="137">
        <v>0.0017</v>
      </c>
      <c r="D37" s="137">
        <v>0.0013</v>
      </c>
      <c r="E37" s="137">
        <v>0.0017</v>
      </c>
      <c r="F37" s="138">
        <v>0.0013</v>
      </c>
    </row>
    <row r="38" spans="1:6" ht="15">
      <c r="A38" s="135" t="s">
        <v>129</v>
      </c>
      <c r="B38" s="136" t="s">
        <v>130</v>
      </c>
      <c r="C38" s="137">
        <v>0.032</v>
      </c>
      <c r="D38" s="137">
        <v>0.0241</v>
      </c>
      <c r="E38" s="137">
        <v>0.032</v>
      </c>
      <c r="F38" s="138">
        <v>0.0241</v>
      </c>
    </row>
    <row r="39" spans="1:6" ht="15">
      <c r="A39" s="135" t="s">
        <v>131</v>
      </c>
      <c r="B39" s="136" t="s">
        <v>132</v>
      </c>
      <c r="C39" s="137">
        <v>0.0531</v>
      </c>
      <c r="D39" s="137">
        <v>0.0399</v>
      </c>
      <c r="E39" s="137">
        <v>0.0531</v>
      </c>
      <c r="F39" s="138">
        <v>0.0399</v>
      </c>
    </row>
    <row r="40" spans="1:6" ht="15">
      <c r="A40" s="135" t="s">
        <v>133</v>
      </c>
      <c r="B40" s="136" t="s">
        <v>134</v>
      </c>
      <c r="C40" s="137">
        <v>0.006</v>
      </c>
      <c r="D40" s="137">
        <v>0.0045</v>
      </c>
      <c r="E40" s="137">
        <v>0.006</v>
      </c>
      <c r="F40" s="138">
        <v>0.0045</v>
      </c>
    </row>
    <row r="41" spans="1:6" ht="15">
      <c r="A41" s="148" t="s">
        <v>135</v>
      </c>
      <c r="B41" s="149" t="s">
        <v>100</v>
      </c>
      <c r="C41" s="150">
        <f>SUM(C36:C40)</f>
        <v>0.1642</v>
      </c>
      <c r="D41" s="150">
        <f>SUM(D36:D40)</f>
        <v>0.12340000000000001</v>
      </c>
      <c r="E41" s="150">
        <f>SUM(E36:E40)</f>
        <v>0.1642</v>
      </c>
      <c r="F41" s="151">
        <f>SUM(F36:F40)</f>
        <v>0.12340000000000001</v>
      </c>
    </row>
    <row r="42" spans="1:6" ht="15">
      <c r="A42" s="455" t="s">
        <v>136</v>
      </c>
      <c r="B42" s="456"/>
      <c r="C42" s="456"/>
      <c r="D42" s="456"/>
      <c r="E42" s="456"/>
      <c r="F42" s="457"/>
    </row>
    <row r="43" spans="1:6" ht="15">
      <c r="A43" s="152" t="s">
        <v>137</v>
      </c>
      <c r="B43" s="153" t="s">
        <v>138</v>
      </c>
      <c r="C43" s="154">
        <v>0.0823</v>
      </c>
      <c r="D43" s="154">
        <v>0.0301</v>
      </c>
      <c r="E43" s="154">
        <v>0.1802</v>
      </c>
      <c r="F43" s="155">
        <v>0.0658</v>
      </c>
    </row>
    <row r="44" spans="1:6" ht="45">
      <c r="A44" s="135" t="s">
        <v>139</v>
      </c>
      <c r="B44" s="156" t="s">
        <v>140</v>
      </c>
      <c r="C44" s="157">
        <v>0.006</v>
      </c>
      <c r="D44" s="157">
        <v>0.0045</v>
      </c>
      <c r="E44" s="157">
        <v>0.0063</v>
      </c>
      <c r="F44" s="158">
        <v>0.0048</v>
      </c>
    </row>
    <row r="45" spans="1:6" ht="15">
      <c r="A45" s="159" t="s">
        <v>141</v>
      </c>
      <c r="B45" s="160" t="s">
        <v>100</v>
      </c>
      <c r="C45" s="161">
        <f>SUM(C43:C44)</f>
        <v>0.0883</v>
      </c>
      <c r="D45" s="161">
        <f>SUM(D43:D44)</f>
        <v>0.0346</v>
      </c>
      <c r="E45" s="161">
        <f>SUM(E43:E44)</f>
        <v>0.1865</v>
      </c>
      <c r="F45" s="162">
        <f>SUM(F43:F44)</f>
        <v>0.0706</v>
      </c>
    </row>
    <row r="46" spans="1:6" ht="4.9" customHeight="1">
      <c r="A46" s="458"/>
      <c r="B46" s="458"/>
      <c r="C46" s="458"/>
      <c r="D46" s="458"/>
      <c r="E46" s="458"/>
      <c r="F46" s="458"/>
    </row>
    <row r="47" spans="1:6" ht="25.15" customHeight="1">
      <c r="A47" s="446" t="s">
        <v>142</v>
      </c>
      <c r="B47" s="447"/>
      <c r="C47" s="163">
        <f>C22+C34+C41+C45</f>
        <v>0.9102</v>
      </c>
      <c r="D47" s="163">
        <f>D22+D34+D41+D45</f>
        <v>0.5049</v>
      </c>
      <c r="E47" s="163">
        <f>E22+E34+E41+E45</f>
        <v>1.2084000000000001</v>
      </c>
      <c r="F47" s="164">
        <f>F22+F34+F41+F45</f>
        <v>0.7409000000000001</v>
      </c>
    </row>
    <row r="48" spans="1:6" ht="15">
      <c r="A48" s="165"/>
      <c r="B48" s="165"/>
      <c r="C48" s="165"/>
      <c r="D48" s="165"/>
      <c r="E48" s="165"/>
      <c r="F48" s="165"/>
    </row>
    <row r="49" spans="1:6" ht="15">
      <c r="A49" s="165"/>
      <c r="B49" s="165"/>
      <c r="C49" s="165"/>
      <c r="D49" s="165"/>
      <c r="E49" s="165"/>
      <c r="F49" s="165"/>
    </row>
    <row r="50" spans="1:6" ht="15">
      <c r="A50" s="165"/>
      <c r="B50" s="165"/>
      <c r="C50" s="165"/>
      <c r="D50" s="165"/>
      <c r="E50" s="165"/>
      <c r="F50" s="165"/>
    </row>
    <row r="51" spans="1:6" ht="15">
      <c r="A51" s="165"/>
      <c r="B51" s="165"/>
      <c r="C51" s="165"/>
      <c r="D51" s="165"/>
      <c r="E51" s="165"/>
      <c r="F51" s="165"/>
    </row>
    <row r="52" spans="1:6" ht="15">
      <c r="A52" s="165"/>
      <c r="B52" s="165"/>
      <c r="C52" s="165"/>
      <c r="D52" s="165"/>
      <c r="E52" s="165"/>
      <c r="F52" s="165"/>
    </row>
    <row r="53" spans="1:6" ht="15">
      <c r="A53" s="165"/>
      <c r="B53" s="165"/>
      <c r="C53" s="165"/>
      <c r="D53" s="165"/>
      <c r="E53" s="165"/>
      <c r="F53" s="165"/>
    </row>
    <row r="54" spans="1:6" ht="15">
      <c r="A54" s="165"/>
      <c r="B54" s="165"/>
      <c r="C54" s="165"/>
      <c r="D54" s="165"/>
      <c r="E54" s="165"/>
      <c r="F54" s="165"/>
    </row>
    <row r="55" spans="1:6" ht="15">
      <c r="A55" s="165"/>
      <c r="B55" s="165"/>
      <c r="C55" s="165"/>
      <c r="D55" s="165"/>
      <c r="E55" s="165"/>
      <c r="F55" s="165"/>
    </row>
    <row r="56" spans="1:6" ht="15">
      <c r="A56" s="165"/>
      <c r="B56" s="166"/>
      <c r="C56" s="166"/>
      <c r="D56" s="166"/>
      <c r="E56" s="165"/>
      <c r="F56" s="165"/>
    </row>
    <row r="57" spans="1:9" ht="57" customHeight="1">
      <c r="A57" s="420" t="s">
        <v>39</v>
      </c>
      <c r="B57" s="420"/>
      <c r="C57" s="420"/>
      <c r="D57" s="420"/>
      <c r="E57" s="420"/>
      <c r="F57" s="420"/>
      <c r="G57" s="167"/>
      <c r="H57" s="167"/>
      <c r="I57" s="167"/>
    </row>
    <row r="68" ht="12.6" customHeight="1"/>
    <row r="69" ht="15" hidden="1"/>
  </sheetData>
  <mergeCells count="19">
    <mergeCell ref="A1:F1"/>
    <mergeCell ref="A2:F2"/>
    <mergeCell ref="B3:F3"/>
    <mergeCell ref="B4:F4"/>
    <mergeCell ref="B5:F5"/>
    <mergeCell ref="B6:F6"/>
    <mergeCell ref="B7:F7"/>
    <mergeCell ref="A9:F9"/>
    <mergeCell ref="C10:D10"/>
    <mergeCell ref="E10:F10"/>
    <mergeCell ref="A47:B47"/>
    <mergeCell ref="A57:F57"/>
    <mergeCell ref="A10:A11"/>
    <mergeCell ref="B10:B11"/>
    <mergeCell ref="A12:F12"/>
    <mergeCell ref="A23:F23"/>
    <mergeCell ref="A35:F35"/>
    <mergeCell ref="A42:F42"/>
    <mergeCell ref="A46:F46"/>
  </mergeCells>
  <printOptions horizontalCentered="1"/>
  <pageMargins left="0.511811023622047" right="0.511811023622047" top="1.37795275590551" bottom="0.78740157480315" header="0.31496062992126" footer="0.31496062992126"/>
  <pageSetup fitToHeight="0" horizontalDpi="300" verticalDpi="300" orientation="portrait" paperSize="9" scale="72" r:id="rId2"/>
  <headerFooter>
    <oddHeader>&amp;C&amp;G</oddHeader>
    <oddFooter>&amp;CGL CONSTRUTORA LTDA
CNPJ: 05.214.984/0001-27
INSCRIÇÃO ESTADUAL: 15.265.127-6
Endereço: RAMAL DO DEZOITO, 100, SALA 01, KM 02, ZONA RURAL
CEP: 68.738-000 - SANTA MARIA DO PAR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O61"/>
  <sheetViews>
    <sheetView showGridLines="0" workbookViewId="0" topLeftCell="A1">
      <selection activeCell="K19" sqref="K19"/>
    </sheetView>
  </sheetViews>
  <sheetFormatPr defaultColWidth="16.28125" defaultRowHeight="15"/>
  <cols>
    <col min="1" max="1" width="7.140625" style="34" customWidth="1"/>
    <col min="2" max="2" width="30.421875" style="35" customWidth="1"/>
    <col min="3" max="3" width="13.8515625" style="32" customWidth="1"/>
    <col min="4" max="4" width="11.57421875" style="38" bestFit="1" customWidth="1"/>
    <col min="5" max="15" width="11.57421875" style="34" bestFit="1" customWidth="1"/>
    <col min="16" max="16384" width="16.28125" style="34" customWidth="1"/>
  </cols>
  <sheetData>
    <row r="1" spans="1:15" ht="57.75" customHeight="1" thickBot="1">
      <c r="A1" s="111"/>
      <c r="B1" s="112"/>
      <c r="C1" s="113"/>
      <c r="D1" s="114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25.9" customHeight="1" thickBot="1">
      <c r="A2" s="482" t="s">
        <v>143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4"/>
    </row>
    <row r="3" spans="1:15" ht="9.75" customHeight="1" thickBot="1">
      <c r="A3" s="115"/>
      <c r="B3" s="116"/>
      <c r="C3" s="117"/>
      <c r="D3" s="118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s="32" customFormat="1" ht="19.15" customHeight="1">
      <c r="A4" s="475" t="s">
        <v>366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7"/>
    </row>
    <row r="5" spans="1:15" s="32" customFormat="1" ht="18" customHeight="1" thickBot="1">
      <c r="A5" s="478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80"/>
    </row>
    <row r="6" spans="1:15" ht="15.75" thickBot="1">
      <c r="A6" s="115"/>
      <c r="B6" s="117"/>
      <c r="C6" s="117"/>
      <c r="D6" s="118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5">
      <c r="A7" s="298" t="s">
        <v>367</v>
      </c>
      <c r="B7" s="299" t="s">
        <v>74</v>
      </c>
      <c r="C7" s="299" t="s">
        <v>38</v>
      </c>
      <c r="D7" s="300" t="s">
        <v>368</v>
      </c>
      <c r="E7" s="300" t="s">
        <v>369</v>
      </c>
      <c r="F7" s="300" t="s">
        <v>370</v>
      </c>
      <c r="G7" s="300" t="s">
        <v>371</v>
      </c>
      <c r="H7" s="300" t="s">
        <v>372</v>
      </c>
      <c r="I7" s="300" t="s">
        <v>373</v>
      </c>
      <c r="J7" s="300" t="s">
        <v>374</v>
      </c>
      <c r="K7" s="300" t="s">
        <v>375</v>
      </c>
      <c r="L7" s="300" t="s">
        <v>376</v>
      </c>
      <c r="M7" s="300" t="s">
        <v>377</v>
      </c>
      <c r="N7" s="300" t="s">
        <v>378</v>
      </c>
      <c r="O7" s="301" t="s">
        <v>379</v>
      </c>
    </row>
    <row r="8" spans="1:15" ht="15.75" thickBot="1">
      <c r="A8" s="266"/>
      <c r="B8" s="267"/>
      <c r="C8" s="267"/>
      <c r="D8" s="268">
        <v>1</v>
      </c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8"/>
    </row>
    <row r="9" spans="1:15" ht="15">
      <c r="A9" s="292">
        <v>1</v>
      </c>
      <c r="B9" s="293" t="s">
        <v>24</v>
      </c>
      <c r="C9" s="294">
        <f>'Planilha Orç Não Deson.'!I15</f>
        <v>14928.75</v>
      </c>
      <c r="D9" s="295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7"/>
    </row>
    <row r="10" spans="1:15" ht="15">
      <c r="A10" s="274"/>
      <c r="B10" s="275"/>
      <c r="C10" s="275"/>
      <c r="D10" s="276">
        <f>ROUND((C9*D8),2)</f>
        <v>14928.75</v>
      </c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9"/>
    </row>
    <row r="11" spans="1:15" ht="15">
      <c r="A11" s="266"/>
      <c r="B11" s="267"/>
      <c r="C11" s="267"/>
      <c r="D11" s="268">
        <v>0.05</v>
      </c>
      <c r="E11" s="268">
        <v>0.05</v>
      </c>
      <c r="F11" s="268">
        <v>0.05</v>
      </c>
      <c r="G11" s="268">
        <v>0.1</v>
      </c>
      <c r="H11" s="268">
        <v>0.1</v>
      </c>
      <c r="I11" s="268">
        <v>0.1</v>
      </c>
      <c r="J11" s="268">
        <v>0.1</v>
      </c>
      <c r="K11" s="268">
        <v>0.1</v>
      </c>
      <c r="L11" s="268">
        <v>0.1</v>
      </c>
      <c r="M11" s="268">
        <v>0.1</v>
      </c>
      <c r="N11" s="268">
        <v>0.1</v>
      </c>
      <c r="O11" s="280">
        <v>0.05</v>
      </c>
    </row>
    <row r="12" spans="1:15" ht="15">
      <c r="A12" s="270">
        <v>2</v>
      </c>
      <c r="B12" s="271" t="s">
        <v>322</v>
      </c>
      <c r="C12" s="272">
        <f>'Planilha Orç Não Deson.'!I18</f>
        <v>4093.2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81"/>
    </row>
    <row r="13" spans="1:15" ht="15">
      <c r="A13" s="274"/>
      <c r="B13" s="275"/>
      <c r="C13" s="275"/>
      <c r="D13" s="276">
        <f>ROUND((C12*D11),2)</f>
        <v>204.66</v>
      </c>
      <c r="E13" s="276">
        <f>ROUND((C12*E11),2)</f>
        <v>204.66</v>
      </c>
      <c r="F13" s="276">
        <f>ROUND((C12*F11),2)</f>
        <v>204.66</v>
      </c>
      <c r="G13" s="276">
        <f>ROUND((C12*G11),2)</f>
        <v>409.32</v>
      </c>
      <c r="H13" s="276">
        <f>ROUND((C12*H11),2)</f>
        <v>409.32</v>
      </c>
      <c r="I13" s="276">
        <f>ROUND((C12*I11),2)</f>
        <v>409.32</v>
      </c>
      <c r="J13" s="276">
        <f>ROUND((C12*J11),2)</f>
        <v>409.32</v>
      </c>
      <c r="K13" s="276">
        <f>ROUND((C12*K11),2)</f>
        <v>409.32</v>
      </c>
      <c r="L13" s="276">
        <f>ROUND((C12*L11),2)</f>
        <v>409.32</v>
      </c>
      <c r="M13" s="276">
        <f>ROUND((C12*M11),2)</f>
        <v>409.32</v>
      </c>
      <c r="N13" s="276">
        <f>ROUND((C12*N11),2)</f>
        <v>409.32</v>
      </c>
      <c r="O13" s="282">
        <f>ROUND((C12*O11),2)</f>
        <v>204.66</v>
      </c>
    </row>
    <row r="14" spans="1:15" ht="15">
      <c r="A14" s="266"/>
      <c r="B14" s="472" t="s">
        <v>325</v>
      </c>
      <c r="C14" s="267"/>
      <c r="D14" s="268">
        <v>0.05</v>
      </c>
      <c r="E14" s="268">
        <v>0.05</v>
      </c>
      <c r="F14" s="268">
        <v>0.05</v>
      </c>
      <c r="G14" s="268">
        <v>0.1</v>
      </c>
      <c r="H14" s="268">
        <v>0.1</v>
      </c>
      <c r="I14" s="268">
        <v>0.1</v>
      </c>
      <c r="J14" s="268">
        <v>0.1</v>
      </c>
      <c r="K14" s="268">
        <v>0.1</v>
      </c>
      <c r="L14" s="268">
        <v>0.1</v>
      </c>
      <c r="M14" s="268">
        <v>0.1</v>
      </c>
      <c r="N14" s="268">
        <v>0.1</v>
      </c>
      <c r="O14" s="280">
        <v>0.05</v>
      </c>
    </row>
    <row r="15" spans="1:15" ht="15">
      <c r="A15" s="270">
        <v>3</v>
      </c>
      <c r="B15" s="473"/>
      <c r="C15" s="272">
        <f>'Planilha Orç Não Deson.'!I22</f>
        <v>305802.00000000006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81"/>
    </row>
    <row r="16" spans="1:15" ht="15.75" thickBot="1">
      <c r="A16" s="283"/>
      <c r="B16" s="474"/>
      <c r="C16" s="284"/>
      <c r="D16" s="285">
        <f>ROUND((C15*D14),2)</f>
        <v>15290.1</v>
      </c>
      <c r="E16" s="285">
        <f>ROUND((C15*E14),2)</f>
        <v>15290.1</v>
      </c>
      <c r="F16" s="285">
        <f>ROUND((C15*F14),2)</f>
        <v>15290.1</v>
      </c>
      <c r="G16" s="285">
        <f>ROUND((C15*G14),2)</f>
        <v>30580.2</v>
      </c>
      <c r="H16" s="285">
        <f>ROUND((C15*H14),2)</f>
        <v>30580.2</v>
      </c>
      <c r="I16" s="285">
        <f>ROUND((C15*I14),2)</f>
        <v>30580.2</v>
      </c>
      <c r="J16" s="285">
        <f>ROUND((C15*J14),2)</f>
        <v>30580.2</v>
      </c>
      <c r="K16" s="285">
        <f>ROUND((C15*K14),2)</f>
        <v>30580.2</v>
      </c>
      <c r="L16" s="285">
        <f>ROUND((C15*L14),2)</f>
        <v>30580.2</v>
      </c>
      <c r="M16" s="285">
        <f>ROUND((C15*M14),2)</f>
        <v>30580.2</v>
      </c>
      <c r="N16" s="285">
        <f>ROUND((C15*N14),2)</f>
        <v>30580.2</v>
      </c>
      <c r="O16" s="286">
        <f>ROUND((C15*O14),2)</f>
        <v>15290.1</v>
      </c>
    </row>
    <row r="17" spans="1:15" ht="15.75" thickBot="1">
      <c r="A17" s="287"/>
      <c r="B17" s="288" t="s">
        <v>38</v>
      </c>
      <c r="C17" s="289">
        <f>C15+C12+C9</f>
        <v>324823.95000000007</v>
      </c>
      <c r="D17" s="290">
        <f>D16+D13+D10</f>
        <v>30423.510000000002</v>
      </c>
      <c r="E17" s="290">
        <f>E16+E13</f>
        <v>15494.76</v>
      </c>
      <c r="F17" s="290">
        <f>F16+F13</f>
        <v>15494.76</v>
      </c>
      <c r="G17" s="290">
        <f aca="true" t="shared" si="0" ref="G17:N17">G16+G13</f>
        <v>30989.52</v>
      </c>
      <c r="H17" s="290">
        <f t="shared" si="0"/>
        <v>30989.52</v>
      </c>
      <c r="I17" s="290">
        <f t="shared" si="0"/>
        <v>30989.52</v>
      </c>
      <c r="J17" s="290">
        <f t="shared" si="0"/>
        <v>30989.52</v>
      </c>
      <c r="K17" s="290">
        <f t="shared" si="0"/>
        <v>30989.52</v>
      </c>
      <c r="L17" s="290">
        <f t="shared" si="0"/>
        <v>30989.52</v>
      </c>
      <c r="M17" s="290">
        <f t="shared" si="0"/>
        <v>30989.52</v>
      </c>
      <c r="N17" s="290">
        <f t="shared" si="0"/>
        <v>30989.52</v>
      </c>
      <c r="O17" s="291">
        <f>O13+O16</f>
        <v>15494.76</v>
      </c>
    </row>
    <row r="18" spans="1:15" ht="15">
      <c r="A18" s="96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5">
      <c r="A19" s="115"/>
      <c r="B19" s="117"/>
      <c r="C19" s="117"/>
      <c r="D19" s="118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1:15" ht="15">
      <c r="A20" s="115"/>
      <c r="B20" s="117"/>
      <c r="C20" s="117"/>
      <c r="D20" s="118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1:15" ht="15">
      <c r="A21" s="115"/>
      <c r="B21" s="117"/>
      <c r="C21" s="117"/>
      <c r="D21" s="118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5">
      <c r="A22" s="115"/>
      <c r="B22" s="117"/>
      <c r="C22" s="117"/>
      <c r="D22" s="118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1:15" ht="15">
      <c r="A23" s="115"/>
      <c r="B23" s="117"/>
      <c r="C23" s="117"/>
      <c r="D23" s="118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5" ht="15">
      <c r="A24" s="115"/>
      <c r="B24" s="117"/>
      <c r="C24" s="117"/>
      <c r="D24" s="118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15">
      <c r="A25" s="115"/>
      <c r="B25" s="117"/>
      <c r="C25" s="117"/>
      <c r="D25" s="118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ht="15">
      <c r="A26" s="115"/>
      <c r="B26" s="117"/>
      <c r="C26" s="117"/>
      <c r="D26" s="118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5" ht="15">
      <c r="A27" s="115"/>
      <c r="B27" s="117"/>
      <c r="C27" s="117"/>
      <c r="D27" s="118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1:15" ht="15">
      <c r="A28" s="115"/>
      <c r="B28" s="117"/>
      <c r="C28" s="117"/>
      <c r="D28" s="118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1:15" ht="15">
      <c r="A29" s="115"/>
      <c r="B29" s="117"/>
      <c r="C29" s="117"/>
      <c r="D29" s="118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1:15" ht="15">
      <c r="A30" s="119"/>
      <c r="B30" s="120"/>
      <c r="C30" s="121"/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ht="15">
      <c r="A31" s="119"/>
      <c r="B31" s="120"/>
      <c r="C31" s="121"/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ht="15">
      <c r="A32" s="119"/>
      <c r="B32" s="120"/>
      <c r="C32" s="34"/>
      <c r="D32" s="34"/>
      <c r="F32" s="122"/>
      <c r="G32" s="123"/>
      <c r="H32" s="124"/>
      <c r="I32" s="119"/>
      <c r="J32" s="119"/>
      <c r="K32" s="119"/>
      <c r="L32" s="119"/>
      <c r="M32" s="119"/>
      <c r="N32" s="119"/>
      <c r="O32" s="119"/>
    </row>
    <row r="33" spans="1:15" ht="64.5" customHeight="1">
      <c r="A33" s="481" t="s">
        <v>380</v>
      </c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</row>
    <row r="34" spans="1:15" ht="15">
      <c r="A34" s="125"/>
      <c r="B34" s="63"/>
      <c r="C34" s="126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ht="15">
      <c r="A35" s="125"/>
      <c r="B35" s="63"/>
      <c r="C35" s="126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15">
      <c r="A36" s="125"/>
      <c r="B36" s="63"/>
      <c r="C36" s="126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ht="15">
      <c r="A37" s="125"/>
      <c r="B37" s="63"/>
      <c r="C37" s="126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1:15" ht="15">
      <c r="A38" s="125"/>
      <c r="B38" s="63"/>
      <c r="C38" s="126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39" spans="1:15" ht="15">
      <c r="A39" s="125"/>
      <c r="B39" s="63"/>
      <c r="C39" s="126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ht="15">
      <c r="A40" s="125"/>
      <c r="B40" s="63"/>
      <c r="C40" s="126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1" spans="1:15" ht="15">
      <c r="A41" s="125"/>
      <c r="B41" s="63"/>
      <c r="C41" s="126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</row>
    <row r="42" spans="1:15" ht="15">
      <c r="A42" s="125"/>
      <c r="B42" s="63"/>
      <c r="C42" s="126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5" ht="15">
      <c r="A43" s="125"/>
      <c r="B43" s="63"/>
      <c r="C43" s="126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1:15" ht="15">
      <c r="A44" s="125"/>
      <c r="B44" s="63"/>
      <c r="C44" s="126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</row>
    <row r="45" spans="1:15" ht="15">
      <c r="A45" s="125"/>
      <c r="B45" s="63"/>
      <c r="C45" s="126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</row>
    <row r="46" spans="1:15" ht="15">
      <c r="A46" s="125"/>
      <c r="B46" s="63"/>
      <c r="C46" s="126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</row>
    <row r="47" spans="1:15" ht="15">
      <c r="A47" s="125"/>
      <c r="B47" s="63"/>
      <c r="C47" s="126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5">
      <c r="A48" s="125"/>
      <c r="B48" s="63"/>
      <c r="C48" s="126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5">
      <c r="A49" s="125"/>
      <c r="B49" s="63"/>
      <c r="C49" s="126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:15" ht="15">
      <c r="A50" s="125"/>
      <c r="B50" s="63"/>
      <c r="C50" s="126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</row>
    <row r="51" spans="1:15" ht="15">
      <c r="A51" s="125"/>
      <c r="B51" s="63"/>
      <c r="C51" s="126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1:15" ht="15">
      <c r="A52" s="125"/>
      <c r="B52" s="63"/>
      <c r="C52" s="126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</row>
    <row r="53" spans="1:15" ht="15">
      <c r="A53" s="125"/>
      <c r="B53" s="63"/>
      <c r="C53" s="126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</row>
    <row r="54" spans="1:15" ht="15">
      <c r="A54" s="125"/>
      <c r="B54" s="63"/>
      <c r="C54" s="126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</row>
    <row r="55" spans="1:15" ht="15">
      <c r="A55" s="125"/>
      <c r="B55" s="63"/>
      <c r="C55" s="126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</row>
    <row r="56" spans="1:15" ht="15">
      <c r="A56" s="125"/>
      <c r="B56" s="63"/>
      <c r="C56" s="126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</row>
    <row r="57" spans="1:15" ht="15">
      <c r="A57" s="125"/>
      <c r="B57" s="63"/>
      <c r="C57" s="126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</row>
    <row r="58" spans="1:15" ht="15">
      <c r="A58" s="125"/>
      <c r="B58" s="63"/>
      <c r="C58" s="126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</row>
    <row r="59" spans="1:15" ht="15">
      <c r="A59" s="125"/>
      <c r="B59" s="63"/>
      <c r="C59" s="126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</row>
    <row r="60" spans="1:15" ht="15">
      <c r="A60" s="125"/>
      <c r="B60" s="63"/>
      <c r="C60" s="126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1:15" ht="15">
      <c r="A61" s="125"/>
      <c r="B61" s="63"/>
      <c r="C61" s="126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</row>
  </sheetData>
  <mergeCells count="4">
    <mergeCell ref="B14:B16"/>
    <mergeCell ref="A4:O5"/>
    <mergeCell ref="A33:O33"/>
    <mergeCell ref="A2:O2"/>
  </mergeCells>
  <printOptions/>
  <pageMargins left="0.708661417322835" right="0.708661417322835" top="1.73228346456693" bottom="0.748031496062992" header="0.31496062992126" footer="0.31496062992126"/>
  <pageSetup fitToHeight="1" fitToWidth="1" horizontalDpi="1200" verticalDpi="1200" orientation="landscape" paperSize="9" scale="69" r:id="rId2"/>
  <headerFooter>
    <oddHeader>&amp;C&amp;G</oddHeader>
    <oddFooter>&amp;CGL CONSTRUTORA LTDA
CNPJ: 05.214.984/0001-27
INSCRIÇÃO ESTADUAL: 15.265.127-6
Endereço: RAMAL DO DEZOITO, 100, SALA 01, KM 02, ZONA RURAL
CEP: 68.738-000 - SANTA MARIA DO PAR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H66"/>
  <sheetViews>
    <sheetView workbookViewId="0" topLeftCell="A46">
      <selection activeCell="E66" sqref="E66"/>
    </sheetView>
  </sheetViews>
  <sheetFormatPr defaultColWidth="9.00390625" defaultRowHeight="15"/>
  <cols>
    <col min="1" max="1" width="21.57421875" style="0" customWidth="1"/>
    <col min="2" max="2" width="16.7109375" style="1" customWidth="1"/>
    <col min="3" max="3" width="13.140625" style="1" customWidth="1"/>
    <col min="4" max="4" width="12.8515625" style="1" customWidth="1"/>
    <col min="5" max="5" width="12.00390625" style="1" customWidth="1"/>
  </cols>
  <sheetData>
    <row r="1" spans="1:5" ht="15">
      <c r="A1" s="485" t="s">
        <v>151</v>
      </c>
      <c r="B1" s="485"/>
      <c r="C1" s="485"/>
      <c r="D1" s="485"/>
      <c r="E1" s="485"/>
    </row>
    <row r="2" spans="1:5" ht="15">
      <c r="A2" s="98" t="s">
        <v>18</v>
      </c>
      <c r="B2" s="99" t="s">
        <v>152</v>
      </c>
      <c r="C2" s="99" t="s">
        <v>153</v>
      </c>
      <c r="D2" s="99" t="s">
        <v>154</v>
      </c>
      <c r="E2" s="99" t="s">
        <v>155</v>
      </c>
    </row>
    <row r="3" spans="1:5" ht="15">
      <c r="A3" s="7" t="s">
        <v>156</v>
      </c>
      <c r="B3" s="8">
        <v>2.9</v>
      </c>
      <c r="C3" s="8">
        <v>3</v>
      </c>
      <c r="D3" s="8">
        <f>0.8*2.1</f>
        <v>1.6800000000000002</v>
      </c>
      <c r="E3" s="8">
        <f>(B3*C3)-D3</f>
        <v>7.02</v>
      </c>
    </row>
    <row r="4" spans="1:5" ht="15">
      <c r="A4" s="7" t="s">
        <v>157</v>
      </c>
      <c r="B4" s="8">
        <f>0.9</f>
        <v>0.9</v>
      </c>
      <c r="C4" s="8">
        <v>2.1</v>
      </c>
      <c r="D4" s="8">
        <v>0</v>
      </c>
      <c r="E4" s="8">
        <f aca="true" t="shared" si="0" ref="E4:E6">(B4*C4)-D4</f>
        <v>1.8900000000000001</v>
      </c>
    </row>
    <row r="5" spans="1:5" ht="15">
      <c r="A5" s="7" t="s">
        <v>158</v>
      </c>
      <c r="B5" s="8"/>
      <c r="C5" s="8"/>
      <c r="D5" s="8"/>
      <c r="E5" s="8">
        <f>((3+3.76)*3.56)/2</f>
        <v>12.0328</v>
      </c>
    </row>
    <row r="6" spans="1:5" ht="15">
      <c r="A6" s="7" t="s">
        <v>159</v>
      </c>
      <c r="B6" s="8">
        <v>8.99</v>
      </c>
      <c r="C6" s="8">
        <v>3</v>
      </c>
      <c r="D6" s="8">
        <f>2*(2*1.2)+(2.8*2.1)</f>
        <v>10.68</v>
      </c>
      <c r="E6" s="8">
        <f t="shared" si="0"/>
        <v>16.29</v>
      </c>
    </row>
    <row r="7" spans="1:5" ht="15">
      <c r="A7" s="7" t="s">
        <v>160</v>
      </c>
      <c r="B7" s="8"/>
      <c r="C7" s="8"/>
      <c r="D7" s="8"/>
      <c r="E7" s="8">
        <v>2.5</v>
      </c>
    </row>
    <row r="8" spans="1:5" ht="15">
      <c r="A8" s="7" t="s">
        <v>161</v>
      </c>
      <c r="B8" s="8"/>
      <c r="C8" s="8"/>
      <c r="D8" s="8"/>
      <c r="E8" s="8">
        <v>5</v>
      </c>
    </row>
    <row r="9" spans="1:5" ht="15">
      <c r="A9" s="7" t="s">
        <v>162</v>
      </c>
      <c r="B9" s="8"/>
      <c r="C9" s="8"/>
      <c r="D9" s="8"/>
      <c r="E9" s="8">
        <v>2.9</v>
      </c>
    </row>
    <row r="10" spans="1:5" ht="15">
      <c r="A10" s="7"/>
      <c r="B10" s="8"/>
      <c r="C10" s="8"/>
      <c r="D10" s="8"/>
      <c r="E10" s="8"/>
    </row>
    <row r="11" ht="15">
      <c r="E11" s="100">
        <f>SUM(E3:E10)</f>
        <v>47.632799999999996</v>
      </c>
    </row>
    <row r="14" spans="1:5" ht="15">
      <c r="A14" s="485" t="s">
        <v>163</v>
      </c>
      <c r="B14" s="485"/>
      <c r="C14" s="485"/>
      <c r="D14" s="485"/>
      <c r="E14" s="485"/>
    </row>
    <row r="15" spans="1:5" ht="15">
      <c r="A15" s="98" t="s">
        <v>18</v>
      </c>
      <c r="B15" s="99" t="s">
        <v>152</v>
      </c>
      <c r="C15" s="99" t="s">
        <v>153</v>
      </c>
      <c r="D15" s="99" t="s">
        <v>154</v>
      </c>
      <c r="E15" s="99" t="s">
        <v>155</v>
      </c>
    </row>
    <row r="16" spans="1:5" ht="15">
      <c r="A16" s="7" t="s">
        <v>164</v>
      </c>
      <c r="B16" s="8"/>
      <c r="C16" s="8"/>
      <c r="D16" s="8"/>
      <c r="E16" s="8">
        <f>E5</f>
        <v>12.0328</v>
      </c>
    </row>
    <row r="17" spans="1:5" ht="15">
      <c r="A17" s="7" t="s">
        <v>164</v>
      </c>
      <c r="B17" s="8">
        <v>8.84</v>
      </c>
      <c r="C17" s="8">
        <v>2</v>
      </c>
      <c r="D17" s="8">
        <v>0</v>
      </c>
      <c r="E17" s="8">
        <f>B17*C17</f>
        <v>17.68</v>
      </c>
    </row>
    <row r="18" spans="1:5" ht="15">
      <c r="A18" s="7" t="s">
        <v>165</v>
      </c>
      <c r="B18" s="8">
        <v>0.96</v>
      </c>
      <c r="C18" s="8">
        <v>2.13</v>
      </c>
      <c r="D18" s="8">
        <v>0</v>
      </c>
      <c r="E18" s="8">
        <f>B18*C18</f>
        <v>2.0448</v>
      </c>
    </row>
    <row r="19" spans="1:5" ht="15">
      <c r="A19" s="7"/>
      <c r="B19" s="8"/>
      <c r="C19" s="8"/>
      <c r="D19" s="8"/>
      <c r="E19" s="8"/>
    </row>
    <row r="20" ht="15">
      <c r="E20" s="101">
        <f>SUM(E16:E18)</f>
        <v>31.7576</v>
      </c>
    </row>
    <row r="22" spans="1:5" ht="15">
      <c r="A22" s="485" t="s">
        <v>166</v>
      </c>
      <c r="B22" s="485"/>
      <c r="C22" s="485"/>
      <c r="D22" s="485"/>
      <c r="E22" s="485"/>
    </row>
    <row r="23" spans="1:5" ht="15">
      <c r="A23" s="98" t="s">
        <v>18</v>
      </c>
      <c r="B23" s="99" t="s">
        <v>152</v>
      </c>
      <c r="C23" s="99" t="s">
        <v>153</v>
      </c>
      <c r="D23" s="99" t="s">
        <v>154</v>
      </c>
      <c r="E23" s="99" t="s">
        <v>155</v>
      </c>
    </row>
    <row r="24" spans="1:5" ht="15">
      <c r="A24" s="7" t="s">
        <v>167</v>
      </c>
      <c r="B24" s="10">
        <v>2.85</v>
      </c>
      <c r="C24" s="8">
        <v>0.15</v>
      </c>
      <c r="D24" s="8"/>
      <c r="E24" s="8">
        <f>B24*C24</f>
        <v>0.4275</v>
      </c>
    </row>
    <row r="25" spans="1:5" ht="15">
      <c r="A25" s="7" t="s">
        <v>168</v>
      </c>
      <c r="B25" s="10">
        <f>0.75+0.75+0.85</f>
        <v>2.35</v>
      </c>
      <c r="C25" s="8">
        <v>0.15</v>
      </c>
      <c r="D25" s="8"/>
      <c r="E25" s="8">
        <f>B25*C25</f>
        <v>0.3525</v>
      </c>
    </row>
    <row r="26" spans="2:5" ht="15">
      <c r="B26" s="102"/>
      <c r="E26" s="13">
        <f>E24+E25</f>
        <v>0.78</v>
      </c>
    </row>
    <row r="28" spans="1:5" ht="15">
      <c r="A28" s="485" t="s">
        <v>169</v>
      </c>
      <c r="B28" s="485"/>
      <c r="C28" s="485"/>
      <c r="D28" s="485"/>
      <c r="E28" s="485"/>
    </row>
    <row r="29" spans="1:5" ht="15">
      <c r="A29" s="98" t="s">
        <v>18</v>
      </c>
      <c r="B29" s="99" t="s">
        <v>152</v>
      </c>
      <c r="C29" s="99" t="s">
        <v>153</v>
      </c>
      <c r="D29" s="99" t="s">
        <v>154</v>
      </c>
      <c r="E29" s="99" t="s">
        <v>155</v>
      </c>
    </row>
    <row r="30" spans="1:5" ht="15">
      <c r="A30" t="s">
        <v>170</v>
      </c>
      <c r="B30" s="103">
        <f>3*(2.05)</f>
        <v>6.1499999999999995</v>
      </c>
      <c r="C30" s="1">
        <f>0.15+0.015+0.015</f>
        <v>0.18</v>
      </c>
      <c r="E30" s="1">
        <f>B30*C30</f>
        <v>1.1069999999999998</v>
      </c>
    </row>
    <row r="31" spans="1:5" ht="15">
      <c r="A31" t="s">
        <v>171</v>
      </c>
      <c r="B31" s="103">
        <v>0</v>
      </c>
      <c r="C31" s="1">
        <v>0.18</v>
      </c>
      <c r="E31" s="1">
        <f>B31*C31</f>
        <v>0</v>
      </c>
    </row>
    <row r="32" spans="1:5" ht="15">
      <c r="A32" t="s">
        <v>172</v>
      </c>
      <c r="B32" s="103">
        <f>3*0.65</f>
        <v>1.9500000000000002</v>
      </c>
      <c r="C32" s="1">
        <v>0.18</v>
      </c>
      <c r="E32" s="1">
        <f>B32*C32</f>
        <v>0.35100000000000003</v>
      </c>
    </row>
    <row r="33" ht="15">
      <c r="E33" s="13">
        <f>SUM(E30:E32)</f>
        <v>1.4579999999999997</v>
      </c>
    </row>
    <row r="34" ht="15">
      <c r="E34" s="13"/>
    </row>
    <row r="35" spans="1:5" ht="15">
      <c r="A35" s="485" t="s">
        <v>173</v>
      </c>
      <c r="B35" s="485"/>
      <c r="C35" s="485"/>
      <c r="D35" s="485"/>
      <c r="E35" s="485"/>
    </row>
    <row r="36" spans="1:5" ht="15">
      <c r="A36" s="98" t="s">
        <v>18</v>
      </c>
      <c r="B36" s="99" t="s">
        <v>152</v>
      </c>
      <c r="C36" s="99" t="s">
        <v>153</v>
      </c>
      <c r="D36" s="99" t="s">
        <v>154</v>
      </c>
      <c r="E36" s="99" t="s">
        <v>155</v>
      </c>
    </row>
    <row r="37" spans="1:5" ht="15">
      <c r="A37" s="7" t="s">
        <v>174</v>
      </c>
      <c r="B37" s="8">
        <f>2*(1.49+1.5)</f>
        <v>5.98</v>
      </c>
      <c r="C37" s="8">
        <v>2.8</v>
      </c>
      <c r="D37" s="8">
        <f>0.7*2.1</f>
        <v>1.47</v>
      </c>
      <c r="E37" s="8">
        <f>(B37*C37)-D37</f>
        <v>15.274</v>
      </c>
    </row>
    <row r="38" spans="1:5" ht="15">
      <c r="A38" s="7" t="s">
        <v>175</v>
      </c>
      <c r="B38" s="8">
        <v>5.98</v>
      </c>
      <c r="C38" s="8">
        <v>2.8</v>
      </c>
      <c r="D38" s="8">
        <v>1.47</v>
      </c>
      <c r="E38" s="8">
        <f aca="true" t="shared" si="1" ref="E38:E40">(B38*C38)-D38</f>
        <v>15.274</v>
      </c>
    </row>
    <row r="39" spans="1:5" ht="15">
      <c r="A39" s="7" t="s">
        <v>176</v>
      </c>
      <c r="B39" s="8">
        <f>2*(2.9+2.7)</f>
        <v>11.2</v>
      </c>
      <c r="C39" s="8">
        <v>2.8</v>
      </c>
      <c r="D39" s="8">
        <f>0.8*2.1</f>
        <v>1.6800000000000002</v>
      </c>
      <c r="E39" s="8">
        <f t="shared" si="1"/>
        <v>29.679999999999996</v>
      </c>
    </row>
    <row r="40" spans="1:5" ht="15">
      <c r="A40" s="7" t="s">
        <v>177</v>
      </c>
      <c r="B40" s="8">
        <f>2*(3.41+2.83)</f>
        <v>12.48</v>
      </c>
      <c r="C40" s="8">
        <v>2.8</v>
      </c>
      <c r="D40" s="8">
        <f>0.8*2.1</f>
        <v>1.6800000000000002</v>
      </c>
      <c r="E40" s="8">
        <f t="shared" si="1"/>
        <v>33.263999999999996</v>
      </c>
    </row>
    <row r="41" ht="15">
      <c r="E41" s="100">
        <f>SUM(E37:E40)</f>
        <v>93.49199999999999</v>
      </c>
    </row>
    <row r="43" spans="1:5" ht="15">
      <c r="A43" s="485" t="s">
        <v>178</v>
      </c>
      <c r="B43" s="485"/>
      <c r="C43" s="485"/>
      <c r="D43" s="485"/>
      <c r="E43" s="485"/>
    </row>
    <row r="44" spans="1:5" ht="15">
      <c r="A44" s="98" t="s">
        <v>18</v>
      </c>
      <c r="B44" s="99" t="s">
        <v>152</v>
      </c>
      <c r="C44" s="99" t="s">
        <v>153</v>
      </c>
      <c r="D44" s="99" t="s">
        <v>154</v>
      </c>
      <c r="E44" s="99" t="s">
        <v>155</v>
      </c>
    </row>
    <row r="45" spans="1:5" ht="15">
      <c r="A45" s="7" t="s">
        <v>174</v>
      </c>
      <c r="B45" s="8">
        <f>2*(1.49+1.5)</f>
        <v>5.98</v>
      </c>
      <c r="C45" s="8">
        <v>2.85</v>
      </c>
      <c r="D45" s="8">
        <f>0.7*2.1</f>
        <v>1.47</v>
      </c>
      <c r="E45" s="8">
        <f>1*((B45*C45)-D45)</f>
        <v>15.573000000000002</v>
      </c>
    </row>
    <row r="46" spans="1:5" ht="15">
      <c r="A46" s="7" t="s">
        <v>175</v>
      </c>
      <c r="B46" s="8">
        <v>5.98</v>
      </c>
      <c r="C46" s="8">
        <v>2.85</v>
      </c>
      <c r="D46" s="8">
        <v>1.47</v>
      </c>
      <c r="E46" s="8">
        <f>1*((B46*C46)-D46)</f>
        <v>15.573000000000002</v>
      </c>
    </row>
    <row r="47" spans="1:5" ht="15">
      <c r="A47" s="104" t="s">
        <v>164</v>
      </c>
      <c r="B47" s="8">
        <v>8.84</v>
      </c>
      <c r="C47" s="8">
        <v>3</v>
      </c>
      <c r="D47" s="8">
        <f>2*(2*1.2)+(2.8*2.2)</f>
        <v>10.96</v>
      </c>
      <c r="E47" s="8">
        <f aca="true" t="shared" si="2" ref="E47">2*((B47*C47)-D47)</f>
        <v>31.119999999999997</v>
      </c>
    </row>
    <row r="48" spans="1:5" ht="15">
      <c r="A48" s="104" t="s">
        <v>179</v>
      </c>
      <c r="B48" s="8"/>
      <c r="C48" s="8"/>
      <c r="D48" s="8"/>
      <c r="E48" s="8">
        <f>E5</f>
        <v>12.0328</v>
      </c>
    </row>
    <row r="49" spans="1:5" ht="15">
      <c r="A49" s="104" t="s">
        <v>180</v>
      </c>
      <c r="B49" s="8">
        <v>0.9</v>
      </c>
      <c r="C49" s="8">
        <v>2.1</v>
      </c>
      <c r="D49" s="8"/>
      <c r="E49" s="8">
        <f>2*((B49*C49)-D49)</f>
        <v>3.7800000000000002</v>
      </c>
    </row>
    <row r="50" spans="1:8" ht="15">
      <c r="A50" s="104" t="s">
        <v>156</v>
      </c>
      <c r="B50" s="8">
        <v>2.9</v>
      </c>
      <c r="C50" s="8">
        <v>2.85</v>
      </c>
      <c r="D50" s="8">
        <f>0.8*2.1</f>
        <v>1.6800000000000002</v>
      </c>
      <c r="E50" s="8">
        <f>2*((B50*C50)-D50)</f>
        <v>13.170000000000002</v>
      </c>
      <c r="G50" s="105"/>
      <c r="H50" s="105"/>
    </row>
    <row r="51" ht="15">
      <c r="E51" s="101">
        <f>SUM(E45:E50)</f>
        <v>91.2488</v>
      </c>
    </row>
    <row r="53" spans="1:5" ht="15">
      <c r="A53" s="98" t="s">
        <v>18</v>
      </c>
      <c r="B53" s="99" t="s">
        <v>181</v>
      </c>
      <c r="C53" s="99" t="s">
        <v>153</v>
      </c>
      <c r="D53" s="99" t="s">
        <v>153</v>
      </c>
      <c r="E53" s="99" t="s">
        <v>155</v>
      </c>
    </row>
    <row r="54" spans="1:5" ht="15">
      <c r="A54" t="s">
        <v>182</v>
      </c>
      <c r="B54" s="1">
        <f>2*(8.84+3.41)</f>
        <v>24.5</v>
      </c>
      <c r="C54" s="1">
        <v>2.8</v>
      </c>
      <c r="D54" s="1">
        <f>2*(2*1.2)+(2.8*2.2)</f>
        <v>10.96</v>
      </c>
      <c r="E54" s="1">
        <f>(B54*C54)-D54</f>
        <v>57.63999999999999</v>
      </c>
    </row>
    <row r="55" spans="1:5" ht="15">
      <c r="A55" t="s">
        <v>183</v>
      </c>
      <c r="B55" s="1">
        <f>2*(2.83+2.9)</f>
        <v>11.46</v>
      </c>
      <c r="C55" s="1">
        <v>2.8</v>
      </c>
      <c r="D55" s="1">
        <f>1.5*1.1+0.9*2.1</f>
        <v>3.54</v>
      </c>
      <c r="E55" s="1">
        <f aca="true" t="shared" si="3" ref="E55:E60">(B55*C55)-D55</f>
        <v>28.548000000000002</v>
      </c>
    </row>
    <row r="56" spans="1:5" ht="15">
      <c r="A56" t="s">
        <v>184</v>
      </c>
      <c r="B56" s="1">
        <f>2*(4.31+2.7)</f>
        <v>14.02</v>
      </c>
      <c r="C56" s="1">
        <v>2.8</v>
      </c>
      <c r="D56" s="1">
        <f>D55</f>
        <v>3.54</v>
      </c>
      <c r="E56" s="1">
        <f t="shared" si="3"/>
        <v>35.715999999999994</v>
      </c>
    </row>
    <row r="57" spans="1:5" ht="15">
      <c r="A57" t="s">
        <v>185</v>
      </c>
      <c r="B57" s="1">
        <f>2*(5.79+2.9)</f>
        <v>17.38</v>
      </c>
      <c r="C57" s="1">
        <v>2.8</v>
      </c>
      <c r="D57" s="1">
        <f>0.9*2.1</f>
        <v>1.8900000000000001</v>
      </c>
      <c r="E57" s="1">
        <f t="shared" si="3"/>
        <v>46.773999999999994</v>
      </c>
    </row>
    <row r="58" spans="1:5" ht="15">
      <c r="A58" t="s">
        <v>186</v>
      </c>
      <c r="B58" s="1">
        <f>3.05+1.26+3.05</f>
        <v>7.359999999999999</v>
      </c>
      <c r="C58" s="1">
        <v>2.8</v>
      </c>
      <c r="D58" s="1">
        <f>2*(0.7*2.1)+(0.8*2.1)</f>
        <v>4.62</v>
      </c>
      <c r="E58" s="1">
        <f t="shared" si="3"/>
        <v>15.987999999999996</v>
      </c>
    </row>
    <row r="59" spans="1:5" ht="15">
      <c r="A59" t="s">
        <v>187</v>
      </c>
      <c r="B59" s="1">
        <v>14.02</v>
      </c>
      <c r="C59" s="1">
        <v>2.8</v>
      </c>
      <c r="D59" s="1">
        <v>3.54</v>
      </c>
      <c r="E59" s="1">
        <f t="shared" si="3"/>
        <v>35.715999999999994</v>
      </c>
    </row>
    <row r="60" spans="1:5" ht="15">
      <c r="A60" t="s">
        <v>188</v>
      </c>
      <c r="B60" s="1">
        <v>12.12</v>
      </c>
      <c r="C60" s="1">
        <v>3</v>
      </c>
      <c r="D60" s="1">
        <f>3*(2*1.2)+(2.8*2.2)</f>
        <v>13.36</v>
      </c>
      <c r="E60" s="1">
        <f t="shared" si="3"/>
        <v>23</v>
      </c>
    </row>
    <row r="61" ht="15">
      <c r="E61" s="1">
        <v>10.5</v>
      </c>
    </row>
    <row r="62" ht="15">
      <c r="E62" s="1">
        <f>25-1.5*1.1</f>
        <v>23.35</v>
      </c>
    </row>
    <row r="63" ht="15">
      <c r="E63" s="1">
        <f>34.5-2*(1.5*1.1)</f>
        <v>31.2</v>
      </c>
    </row>
    <row r="64" ht="15">
      <c r="E64" s="1">
        <f>11-(0.6*0.6)</f>
        <v>10.64</v>
      </c>
    </row>
    <row r="65" ht="15">
      <c r="E65" s="1">
        <f>38-2*(0.6*0.6)</f>
        <v>37.28</v>
      </c>
    </row>
    <row r="66" ht="15">
      <c r="E66" s="106">
        <f>SUM(E54:E65)</f>
        <v>356.352</v>
      </c>
    </row>
  </sheetData>
  <mergeCells count="6">
    <mergeCell ref="A43:E43"/>
    <mergeCell ref="A1:E1"/>
    <mergeCell ref="A14:E14"/>
    <mergeCell ref="A22:E22"/>
    <mergeCell ref="A28:E28"/>
    <mergeCell ref="A35:E35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8"/>
  <sheetViews>
    <sheetView workbookViewId="0" topLeftCell="A13">
      <selection activeCell="A1" sqref="A1:G1"/>
    </sheetView>
  </sheetViews>
  <sheetFormatPr defaultColWidth="9.00390625" defaultRowHeight="15"/>
  <cols>
    <col min="1" max="1" width="8.8515625" style="15" customWidth="1"/>
    <col min="2" max="2" width="17.57421875" style="15" customWidth="1"/>
    <col min="3" max="3" width="15.8515625" style="15" customWidth="1"/>
    <col min="4" max="4" width="19.421875" style="15" customWidth="1"/>
    <col min="5" max="5" width="14.28125" style="15" customWidth="1"/>
    <col min="6" max="6" width="13.57421875" style="15" customWidth="1"/>
    <col min="7" max="9" width="8.8515625" style="15" customWidth="1"/>
    <col min="11" max="11" width="14.00390625" style="0" customWidth="1"/>
    <col min="12" max="12" width="12.7109375" style="0" customWidth="1"/>
  </cols>
  <sheetData>
    <row r="1" spans="1:7" ht="15">
      <c r="A1" s="494" t="s">
        <v>189</v>
      </c>
      <c r="B1" s="494"/>
      <c r="C1" s="494"/>
      <c r="D1" s="494"/>
      <c r="E1" s="494"/>
      <c r="F1" s="494"/>
      <c r="G1" s="494"/>
    </row>
    <row r="2" spans="1:12" ht="15">
      <c r="A2" s="492" t="s">
        <v>190</v>
      </c>
      <c r="B2" s="493"/>
      <c r="C2" s="493"/>
      <c r="D2" s="493"/>
      <c r="E2" s="46"/>
      <c r="F2" s="46"/>
      <c r="G2" s="82"/>
      <c r="K2" s="495" t="s">
        <v>191</v>
      </c>
      <c r="L2" s="495"/>
    </row>
    <row r="3" spans="1:12" ht="15">
      <c r="A3" s="83" t="s">
        <v>17</v>
      </c>
      <c r="B3" s="84" t="s">
        <v>18</v>
      </c>
      <c r="C3" s="84" t="s">
        <v>192</v>
      </c>
      <c r="D3" s="84" t="s">
        <v>193</v>
      </c>
      <c r="E3" s="34"/>
      <c r="F3" s="34"/>
      <c r="G3" s="85"/>
      <c r="K3" s="21" t="s">
        <v>194</v>
      </c>
      <c r="L3" s="1">
        <f>6*(0.6*0.6*0.5)</f>
        <v>1.08</v>
      </c>
    </row>
    <row r="4" spans="1:7" ht="15">
      <c r="A4" s="86">
        <v>1</v>
      </c>
      <c r="B4" s="21" t="s">
        <v>194</v>
      </c>
      <c r="C4" s="21" t="s">
        <v>195</v>
      </c>
      <c r="D4" s="21">
        <f>4*(0.5*0.5*0.3)</f>
        <v>0.3</v>
      </c>
      <c r="E4" s="34"/>
      <c r="F4" s="34"/>
      <c r="G4" s="85"/>
    </row>
    <row r="5" spans="1:7" ht="15">
      <c r="A5" s="87"/>
      <c r="B5" s="34"/>
      <c r="C5" s="34"/>
      <c r="D5" s="34"/>
      <c r="E5" s="34"/>
      <c r="F5" s="34"/>
      <c r="G5" s="85"/>
    </row>
    <row r="6" spans="1:7" ht="15">
      <c r="A6" s="486" t="s">
        <v>196</v>
      </c>
      <c r="B6" s="487"/>
      <c r="C6" s="487"/>
      <c r="D6" s="487"/>
      <c r="E6" s="487"/>
      <c r="F6" s="487"/>
      <c r="G6" s="85"/>
    </row>
    <row r="7" spans="1:14" ht="15">
      <c r="A7" s="83" t="s">
        <v>17</v>
      </c>
      <c r="B7" s="84" t="s">
        <v>18</v>
      </c>
      <c r="C7" s="84" t="s">
        <v>197</v>
      </c>
      <c r="D7" s="84" t="s">
        <v>198</v>
      </c>
      <c r="E7" s="84" t="s">
        <v>100</v>
      </c>
      <c r="F7" s="84" t="s">
        <v>199</v>
      </c>
      <c r="G7" s="85"/>
      <c r="K7">
        <v>1.87</v>
      </c>
      <c r="L7">
        <v>5.8</v>
      </c>
      <c r="M7">
        <v>0.25</v>
      </c>
      <c r="N7" s="97">
        <f>K7*L7*M7</f>
        <v>2.7115</v>
      </c>
    </row>
    <row r="8" spans="1:7" ht="15">
      <c r="A8" s="86">
        <v>1</v>
      </c>
      <c r="B8" s="21" t="s">
        <v>200</v>
      </c>
      <c r="C8" s="88">
        <v>8</v>
      </c>
      <c r="D8" s="21">
        <v>0.7</v>
      </c>
      <c r="E8" s="89">
        <f>6*(C8*D8)</f>
        <v>33.599999999999994</v>
      </c>
      <c r="F8" s="89">
        <f>E8*0.617</f>
        <v>20.731199999999998</v>
      </c>
      <c r="G8" s="85"/>
    </row>
    <row r="9" spans="1:7" ht="15">
      <c r="A9" s="87"/>
      <c r="B9" s="34"/>
      <c r="C9" s="34"/>
      <c r="D9" s="34"/>
      <c r="E9" s="34"/>
      <c r="F9" s="34"/>
      <c r="G9" s="85"/>
    </row>
    <row r="10" spans="1:7" ht="15">
      <c r="A10" s="486" t="s">
        <v>201</v>
      </c>
      <c r="B10" s="487"/>
      <c r="C10" s="487"/>
      <c r="D10" s="487"/>
      <c r="E10" s="487"/>
      <c r="F10" s="487"/>
      <c r="G10" s="85"/>
    </row>
    <row r="11" spans="1:7" ht="15">
      <c r="A11" s="83" t="s">
        <v>17</v>
      </c>
      <c r="B11" s="84" t="s">
        <v>18</v>
      </c>
      <c r="C11" s="84" t="s">
        <v>181</v>
      </c>
      <c r="D11" s="84" t="s">
        <v>153</v>
      </c>
      <c r="E11" s="84" t="s">
        <v>202</v>
      </c>
      <c r="F11" s="84" t="s">
        <v>203</v>
      </c>
      <c r="G11" s="85"/>
    </row>
    <row r="12" spans="1:7" ht="15">
      <c r="A12" s="90">
        <v>1</v>
      </c>
      <c r="B12" s="91" t="s">
        <v>194</v>
      </c>
      <c r="C12" s="91">
        <f>4*0.5</f>
        <v>2</v>
      </c>
      <c r="D12" s="91">
        <v>0.3</v>
      </c>
      <c r="E12" s="91">
        <f>C12*D12</f>
        <v>0.6</v>
      </c>
      <c r="F12" s="91">
        <f>E12*4</f>
        <v>2.4</v>
      </c>
      <c r="G12" s="92"/>
    </row>
    <row r="13" spans="1:7" ht="15" customHeight="1">
      <c r="A13" s="87"/>
      <c r="B13" s="34"/>
      <c r="C13" s="34"/>
      <c r="D13" s="34"/>
      <c r="E13" s="34"/>
      <c r="F13" s="34"/>
      <c r="G13" s="85"/>
    </row>
    <row r="14" spans="1:7" ht="15">
      <c r="A14" s="491" t="s">
        <v>204</v>
      </c>
      <c r="B14" s="491"/>
      <c r="C14" s="491"/>
      <c r="D14" s="491"/>
      <c r="E14" s="491"/>
      <c r="F14" s="491"/>
      <c r="G14" s="491"/>
    </row>
    <row r="15" spans="1:7" ht="15">
      <c r="A15" s="492" t="s">
        <v>205</v>
      </c>
      <c r="B15" s="493"/>
      <c r="C15" s="493"/>
      <c r="D15" s="493"/>
      <c r="E15" s="493"/>
      <c r="F15" s="493"/>
      <c r="G15" s="82"/>
    </row>
    <row r="16" spans="1:7" ht="15">
      <c r="A16" s="83" t="s">
        <v>17</v>
      </c>
      <c r="B16" s="84" t="s">
        <v>18</v>
      </c>
      <c r="C16" s="84" t="s">
        <v>206</v>
      </c>
      <c r="D16" s="84" t="s">
        <v>198</v>
      </c>
      <c r="E16" s="84" t="s">
        <v>100</v>
      </c>
      <c r="F16" s="84" t="s">
        <v>199</v>
      </c>
      <c r="G16" s="85"/>
    </row>
    <row r="17" spans="1:7" ht="15">
      <c r="A17" s="86">
        <v>1</v>
      </c>
      <c r="B17" s="21" t="s">
        <v>200</v>
      </c>
      <c r="C17" s="88">
        <v>4</v>
      </c>
      <c r="D17" s="88">
        <v>4</v>
      </c>
      <c r="E17" s="88">
        <f>4*(C17*D17)</f>
        <v>64</v>
      </c>
      <c r="F17" s="88">
        <f>E17*0.617</f>
        <v>39.488</v>
      </c>
      <c r="G17" s="85"/>
    </row>
    <row r="18" spans="1:7" ht="15">
      <c r="A18" s="86">
        <v>2</v>
      </c>
      <c r="B18" s="21" t="s">
        <v>207</v>
      </c>
      <c r="C18" s="88">
        <v>27</v>
      </c>
      <c r="D18" s="88">
        <f>(0.13+0.13+0.17+0.17)</f>
        <v>0.6000000000000001</v>
      </c>
      <c r="E18" s="88">
        <f>(C18*D18)*4</f>
        <v>64.80000000000001</v>
      </c>
      <c r="F18" s="88">
        <f>E18*0.154</f>
        <v>9.979200000000002</v>
      </c>
      <c r="G18" s="85"/>
    </row>
    <row r="19" spans="1:7" ht="15">
      <c r="A19" s="87"/>
      <c r="B19" s="34"/>
      <c r="C19" s="34"/>
      <c r="D19" s="34"/>
      <c r="E19" s="34"/>
      <c r="F19" s="34"/>
      <c r="G19" s="85"/>
    </row>
    <row r="20" spans="1:7" ht="15">
      <c r="A20" s="486" t="s">
        <v>208</v>
      </c>
      <c r="B20" s="487"/>
      <c r="C20" s="487"/>
      <c r="D20" s="487"/>
      <c r="E20" s="487"/>
      <c r="F20" s="487"/>
      <c r="G20" s="85"/>
    </row>
    <row r="21" spans="1:7" ht="15">
      <c r="A21" s="83" t="s">
        <v>17</v>
      </c>
      <c r="B21" s="84" t="s">
        <v>18</v>
      </c>
      <c r="C21" s="84" t="s">
        <v>181</v>
      </c>
      <c r="D21" s="84" t="s">
        <v>153</v>
      </c>
      <c r="E21" s="84" t="s">
        <v>209</v>
      </c>
      <c r="F21" s="84" t="s">
        <v>210</v>
      </c>
      <c r="G21" s="85"/>
    </row>
    <row r="22" spans="1:7" ht="15">
      <c r="A22" s="86">
        <v>1</v>
      </c>
      <c r="B22" s="21" t="s">
        <v>211</v>
      </c>
      <c r="C22" s="21">
        <f>0.15+0.2+0.15+0.2</f>
        <v>0.7</v>
      </c>
      <c r="D22" s="21">
        <v>4</v>
      </c>
      <c r="E22" s="21">
        <f>C22*D22</f>
        <v>2.8</v>
      </c>
      <c r="F22" s="21">
        <f>E22*4</f>
        <v>11.2</v>
      </c>
      <c r="G22" s="85"/>
    </row>
    <row r="23" spans="1:7" ht="15">
      <c r="A23" s="87"/>
      <c r="B23" s="34"/>
      <c r="C23" s="34"/>
      <c r="D23" s="34"/>
      <c r="E23" s="34"/>
      <c r="F23" s="34"/>
      <c r="G23" s="85"/>
    </row>
    <row r="24" spans="1:7" ht="15">
      <c r="A24" s="488" t="s">
        <v>212</v>
      </c>
      <c r="B24" s="489"/>
      <c r="C24" s="489"/>
      <c r="D24" s="489"/>
      <c r="E24" s="490"/>
      <c r="F24" s="34"/>
      <c r="G24" s="85"/>
    </row>
    <row r="25" spans="1:7" ht="15">
      <c r="A25" s="83" t="s">
        <v>17</v>
      </c>
      <c r="B25" s="84" t="s">
        <v>18</v>
      </c>
      <c r="C25" s="84" t="s">
        <v>192</v>
      </c>
      <c r="D25" s="84" t="s">
        <v>153</v>
      </c>
      <c r="E25" s="84" t="s">
        <v>213</v>
      </c>
      <c r="F25" s="34"/>
      <c r="G25" s="85"/>
    </row>
    <row r="26" spans="1:7" ht="15">
      <c r="A26" s="90">
        <v>1</v>
      </c>
      <c r="B26" s="91" t="s">
        <v>211</v>
      </c>
      <c r="C26" s="91" t="s">
        <v>214</v>
      </c>
      <c r="D26" s="91">
        <v>4</v>
      </c>
      <c r="E26" s="91">
        <f>4*(0.15*0.2*4)</f>
        <v>0.48</v>
      </c>
      <c r="F26" s="93"/>
      <c r="G26" s="92"/>
    </row>
    <row r="27" spans="1:7" ht="15">
      <c r="A27" s="492" t="s">
        <v>215</v>
      </c>
      <c r="B27" s="493"/>
      <c r="C27" s="493"/>
      <c r="D27" s="493"/>
      <c r="E27" s="493"/>
      <c r="F27" s="493"/>
      <c r="G27" s="82"/>
    </row>
    <row r="28" spans="1:7" ht="15">
      <c r="A28" s="83" t="s">
        <v>17</v>
      </c>
      <c r="B28" s="84" t="s">
        <v>18</v>
      </c>
      <c r="C28" s="84" t="s">
        <v>216</v>
      </c>
      <c r="D28" s="84" t="s">
        <v>198</v>
      </c>
      <c r="E28" s="84" t="s">
        <v>100</v>
      </c>
      <c r="F28" s="84" t="s">
        <v>199</v>
      </c>
      <c r="G28" s="85"/>
    </row>
    <row r="29" spans="1:7" ht="15">
      <c r="A29" s="86">
        <v>1</v>
      </c>
      <c r="B29" s="21" t="s">
        <v>200</v>
      </c>
      <c r="C29" s="88">
        <v>4</v>
      </c>
      <c r="D29" s="88">
        <f>12.12+3.56+2.9</f>
        <v>18.58</v>
      </c>
      <c r="E29" s="88">
        <f>C29*D29</f>
        <v>74.32</v>
      </c>
      <c r="F29" s="88">
        <f>E29*0.617</f>
        <v>45.855439999999994</v>
      </c>
      <c r="G29" s="85"/>
    </row>
    <row r="30" spans="1:7" ht="15">
      <c r="A30" s="86">
        <v>2</v>
      </c>
      <c r="B30" s="21" t="s">
        <v>207</v>
      </c>
      <c r="C30" s="88">
        <f>D29/0.15</f>
        <v>123.86666666666666</v>
      </c>
      <c r="D30" s="88">
        <f>0.15+0.15+0.2+0.2</f>
        <v>0.7</v>
      </c>
      <c r="E30" s="88">
        <f>C30*D30</f>
        <v>86.70666666666666</v>
      </c>
      <c r="F30" s="88">
        <f>E30*0.154</f>
        <v>13.352826666666665</v>
      </c>
      <c r="G30" s="85"/>
    </row>
    <row r="31" spans="1:7" ht="15">
      <c r="A31" s="87"/>
      <c r="B31" s="34"/>
      <c r="C31" s="34"/>
      <c r="D31" s="34"/>
      <c r="E31" s="34"/>
      <c r="F31" s="34"/>
      <c r="G31" s="85"/>
    </row>
    <row r="32" spans="1:7" ht="15">
      <c r="A32" s="486" t="s">
        <v>217</v>
      </c>
      <c r="B32" s="487"/>
      <c r="C32" s="487"/>
      <c r="D32" s="487"/>
      <c r="E32" s="487"/>
      <c r="F32" s="487"/>
      <c r="G32" s="85"/>
    </row>
    <row r="33" spans="1:7" ht="15">
      <c r="A33" s="83" t="s">
        <v>17</v>
      </c>
      <c r="B33" s="84" t="s">
        <v>18</v>
      </c>
      <c r="C33" s="84" t="s">
        <v>181</v>
      </c>
      <c r="D33" s="84" t="s">
        <v>153</v>
      </c>
      <c r="E33" s="84" t="s">
        <v>218</v>
      </c>
      <c r="F33" s="84"/>
      <c r="G33" s="85"/>
    </row>
    <row r="34" spans="1:7" ht="15">
      <c r="A34" s="90">
        <v>1</v>
      </c>
      <c r="B34" s="91" t="s">
        <v>219</v>
      </c>
      <c r="C34" s="94">
        <f>0.2+0.2</f>
        <v>0.4</v>
      </c>
      <c r="D34" s="94">
        <f>D29</f>
        <v>18.58</v>
      </c>
      <c r="E34" s="95">
        <f>C34*D34</f>
        <v>7.4319999999999995</v>
      </c>
      <c r="F34" s="91"/>
      <c r="G34" s="92"/>
    </row>
    <row r="35" spans="1:7" ht="15">
      <c r="A35" s="87"/>
      <c r="B35" s="34"/>
      <c r="C35" s="34"/>
      <c r="D35" s="34"/>
      <c r="E35" s="34"/>
      <c r="F35" s="34"/>
      <c r="G35" s="85"/>
    </row>
    <row r="36" spans="1:7" ht="15">
      <c r="A36" s="488" t="s">
        <v>220</v>
      </c>
      <c r="B36" s="489"/>
      <c r="C36" s="489"/>
      <c r="D36" s="489"/>
      <c r="E36" s="490"/>
      <c r="F36" s="34"/>
      <c r="G36" s="85"/>
    </row>
    <row r="37" spans="1:7" ht="15">
      <c r="A37" s="83" t="s">
        <v>17</v>
      </c>
      <c r="B37" s="84" t="s">
        <v>18</v>
      </c>
      <c r="C37" s="84" t="s">
        <v>192</v>
      </c>
      <c r="D37" s="84" t="s">
        <v>181</v>
      </c>
      <c r="E37" s="84" t="s">
        <v>213</v>
      </c>
      <c r="F37" s="34"/>
      <c r="G37" s="85"/>
    </row>
    <row r="38" spans="1:7" ht="15">
      <c r="A38" s="90">
        <v>1</v>
      </c>
      <c r="B38" s="91" t="s">
        <v>219</v>
      </c>
      <c r="C38" s="91" t="s">
        <v>214</v>
      </c>
      <c r="D38" s="94">
        <f>D29</f>
        <v>18.58</v>
      </c>
      <c r="E38" s="94">
        <f>(0.15*0.2*D38)</f>
        <v>0.5573999999999999</v>
      </c>
      <c r="F38" s="93"/>
      <c r="G38" s="92"/>
    </row>
  </sheetData>
  <mergeCells count="12">
    <mergeCell ref="A1:G1"/>
    <mergeCell ref="A2:D2"/>
    <mergeCell ref="K2:L2"/>
    <mergeCell ref="A6:F6"/>
    <mergeCell ref="A10:F10"/>
    <mergeCell ref="A32:F32"/>
    <mergeCell ref="A36:E36"/>
    <mergeCell ref="A14:G14"/>
    <mergeCell ref="A15:F15"/>
    <mergeCell ref="A20:F20"/>
    <mergeCell ref="A24:E24"/>
    <mergeCell ref="A27:F27"/>
  </mergeCells>
  <printOptions/>
  <pageMargins left="0.511811024" right="0.511811024" top="0.787401575" bottom="0.787401575" header="0.31496062" footer="0.31496062"/>
  <pageSetup horizontalDpi="600" verticalDpi="6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V26"/>
  <sheetViews>
    <sheetView showGridLines="0" view="pageBreakPreview" zoomScale="60" workbookViewId="0" topLeftCell="A1">
      <selection activeCell="H12" sqref="H12"/>
    </sheetView>
  </sheetViews>
  <sheetFormatPr defaultColWidth="16.28125" defaultRowHeight="15"/>
  <cols>
    <col min="1" max="1" width="8.7109375" style="34" customWidth="1"/>
    <col min="2" max="2" width="65.28125" style="35" customWidth="1"/>
    <col min="3" max="3" width="12.57421875" style="36" customWidth="1"/>
    <col min="4" max="4" width="13.28125" style="36" customWidth="1"/>
    <col min="5" max="5" width="11.140625" style="37" customWidth="1"/>
    <col min="6" max="6" width="1.57421875" style="38" customWidth="1"/>
    <col min="7" max="37" width="6.7109375" style="34" customWidth="1"/>
    <col min="38" max="42" width="7.57421875" style="34" customWidth="1"/>
    <col min="43" max="48" width="6.7109375" style="34" hidden="1" customWidth="1"/>
    <col min="49" max="16384" width="16.28125" style="34" customWidth="1"/>
  </cols>
  <sheetData>
    <row r="1" ht="99" customHeight="1">
      <c r="B1" s="39"/>
    </row>
    <row r="2" spans="1:9" ht="12" customHeight="1">
      <c r="A2" s="496" t="s">
        <v>144</v>
      </c>
      <c r="B2" s="497"/>
      <c r="C2" s="497"/>
      <c r="D2" s="497"/>
      <c r="E2" s="498"/>
      <c r="F2" s="499">
        <f>COUNTA(B10:B14)</f>
        <v>5</v>
      </c>
      <c r="G2" s="500"/>
      <c r="H2" s="500"/>
      <c r="I2" s="501"/>
    </row>
    <row r="3" spans="1:9" ht="12" customHeight="1">
      <c r="A3" s="502" t="s">
        <v>145</v>
      </c>
      <c r="B3" s="503"/>
      <c r="C3" s="503"/>
      <c r="D3" s="503"/>
      <c r="E3" s="504"/>
      <c r="F3" s="505">
        <f>'Planilha Orç Não Deson.'!I24</f>
        <v>324823.95000000007</v>
      </c>
      <c r="G3" s="506"/>
      <c r="H3" s="506"/>
      <c r="I3" s="507"/>
    </row>
    <row r="4" ht="15">
      <c r="B4" s="32"/>
    </row>
    <row r="5" spans="1:9" s="32" customFormat="1" ht="15" customHeight="1">
      <c r="A5" s="518" t="s">
        <v>221</v>
      </c>
      <c r="B5" s="519"/>
      <c r="D5" s="522" t="s">
        <v>222</v>
      </c>
      <c r="E5" s="523"/>
      <c r="F5" s="524"/>
      <c r="G5" s="528"/>
      <c r="H5" s="529"/>
      <c r="I5" s="530"/>
    </row>
    <row r="6" spans="1:9" s="32" customFormat="1" ht="15">
      <c r="A6" s="520"/>
      <c r="B6" s="521"/>
      <c r="C6" s="40"/>
      <c r="D6" s="525"/>
      <c r="E6" s="526"/>
      <c r="F6" s="527"/>
      <c r="G6" s="531"/>
      <c r="H6" s="532"/>
      <c r="I6" s="533"/>
    </row>
    <row r="7" spans="1:9" ht="15">
      <c r="A7" s="41"/>
      <c r="B7" s="42"/>
      <c r="C7" s="43"/>
      <c r="D7" s="44"/>
      <c r="E7" s="45"/>
      <c r="F7" s="516"/>
      <c r="G7" s="46"/>
      <c r="H7" s="46"/>
      <c r="I7" s="46"/>
    </row>
    <row r="8" spans="1:48" s="33" customFormat="1" ht="29.45" customHeight="1">
      <c r="A8" s="508" t="s">
        <v>146</v>
      </c>
      <c r="B8" s="510" t="s">
        <v>147</v>
      </c>
      <c r="C8" s="512" t="s">
        <v>148</v>
      </c>
      <c r="D8" s="512" t="s">
        <v>149</v>
      </c>
      <c r="E8" s="514" t="s">
        <v>223</v>
      </c>
      <c r="F8" s="517"/>
      <c r="G8" s="47">
        <v>43861</v>
      </c>
      <c r="H8" s="48">
        <v>43862</v>
      </c>
      <c r="I8" s="48">
        <v>43863</v>
      </c>
      <c r="J8" s="48">
        <v>43864</v>
      </c>
      <c r="K8" s="48">
        <v>43865</v>
      </c>
      <c r="L8" s="48">
        <v>43866</v>
      </c>
      <c r="M8" s="48">
        <v>43867</v>
      </c>
      <c r="N8" s="48">
        <v>43868</v>
      </c>
      <c r="O8" s="48">
        <v>43869</v>
      </c>
      <c r="P8" s="48">
        <v>43870</v>
      </c>
      <c r="Q8" s="48">
        <v>43871</v>
      </c>
      <c r="R8" s="48">
        <v>43872</v>
      </c>
      <c r="S8" s="48">
        <v>43873</v>
      </c>
      <c r="T8" s="48">
        <v>43874</v>
      </c>
      <c r="U8" s="48">
        <v>43875</v>
      </c>
      <c r="V8" s="48">
        <v>43876</v>
      </c>
      <c r="W8" s="48">
        <v>43877</v>
      </c>
      <c r="X8" s="48">
        <v>43878</v>
      </c>
      <c r="Y8" s="48">
        <v>43879</v>
      </c>
      <c r="Z8" s="48">
        <v>43880</v>
      </c>
      <c r="AA8" s="48">
        <v>43881</v>
      </c>
      <c r="AB8" s="48">
        <v>43882</v>
      </c>
      <c r="AC8" s="48">
        <v>43883</v>
      </c>
      <c r="AD8" s="48">
        <v>43884</v>
      </c>
      <c r="AE8" s="48">
        <v>43885</v>
      </c>
      <c r="AF8" s="48">
        <v>43886</v>
      </c>
      <c r="AG8" s="48">
        <v>43887</v>
      </c>
      <c r="AH8" s="48">
        <v>43888</v>
      </c>
      <c r="AI8" s="48">
        <v>43889</v>
      </c>
      <c r="AJ8" s="48">
        <v>43890</v>
      </c>
      <c r="AK8" s="48">
        <v>43891</v>
      </c>
      <c r="AL8" s="48">
        <v>43892</v>
      </c>
      <c r="AM8" s="48">
        <v>43893</v>
      </c>
      <c r="AN8" s="48">
        <v>43894</v>
      </c>
      <c r="AO8" s="48">
        <v>43895</v>
      </c>
      <c r="AP8" s="71">
        <v>43896</v>
      </c>
      <c r="AQ8" s="72">
        <v>43897</v>
      </c>
      <c r="AR8" s="48">
        <v>43898</v>
      </c>
      <c r="AS8" s="48">
        <v>43899</v>
      </c>
      <c r="AT8" s="48">
        <v>43900</v>
      </c>
      <c r="AU8" s="48">
        <v>43901</v>
      </c>
      <c r="AV8" s="71">
        <v>43902</v>
      </c>
    </row>
    <row r="9" spans="1:48" s="33" customFormat="1" ht="15">
      <c r="A9" s="509"/>
      <c r="B9" s="511"/>
      <c r="C9" s="513"/>
      <c r="D9" s="513"/>
      <c r="E9" s="515"/>
      <c r="F9" s="517"/>
      <c r="G9" s="49" t="s">
        <v>224</v>
      </c>
      <c r="H9" s="50" t="s">
        <v>225</v>
      </c>
      <c r="I9" s="50" t="s">
        <v>226</v>
      </c>
      <c r="J9" s="50" t="s">
        <v>227</v>
      </c>
      <c r="K9" s="50" t="s">
        <v>228</v>
      </c>
      <c r="L9" s="50" t="s">
        <v>229</v>
      </c>
      <c r="M9" s="50" t="s">
        <v>230</v>
      </c>
      <c r="N9" s="50" t="s">
        <v>224</v>
      </c>
      <c r="O9" s="50" t="s">
        <v>225</v>
      </c>
      <c r="P9" s="50" t="s">
        <v>226</v>
      </c>
      <c r="Q9" s="50" t="s">
        <v>227</v>
      </c>
      <c r="R9" s="50" t="s">
        <v>228</v>
      </c>
      <c r="S9" s="50" t="s">
        <v>229</v>
      </c>
      <c r="T9" s="50" t="s">
        <v>230</v>
      </c>
      <c r="U9" s="50" t="s">
        <v>224</v>
      </c>
      <c r="V9" s="50" t="s">
        <v>225</v>
      </c>
      <c r="W9" s="50" t="s">
        <v>226</v>
      </c>
      <c r="X9" s="50" t="s">
        <v>227</v>
      </c>
      <c r="Y9" s="50" t="s">
        <v>228</v>
      </c>
      <c r="Z9" s="50" t="s">
        <v>229</v>
      </c>
      <c r="AA9" s="50" t="s">
        <v>230</v>
      </c>
      <c r="AB9" s="50" t="s">
        <v>224</v>
      </c>
      <c r="AC9" s="50" t="s">
        <v>225</v>
      </c>
      <c r="AD9" s="50" t="s">
        <v>226</v>
      </c>
      <c r="AE9" s="50" t="s">
        <v>227</v>
      </c>
      <c r="AF9" s="50" t="s">
        <v>228</v>
      </c>
      <c r="AG9" s="50" t="s">
        <v>229</v>
      </c>
      <c r="AH9" s="50" t="s">
        <v>230</v>
      </c>
      <c r="AI9" s="50" t="s">
        <v>224</v>
      </c>
      <c r="AJ9" s="50" t="s">
        <v>225</v>
      </c>
      <c r="AK9" s="50" t="s">
        <v>226</v>
      </c>
      <c r="AL9" s="50" t="s">
        <v>227</v>
      </c>
      <c r="AM9" s="50" t="s">
        <v>228</v>
      </c>
      <c r="AN9" s="50" t="s">
        <v>229</v>
      </c>
      <c r="AO9" s="50" t="s">
        <v>230</v>
      </c>
      <c r="AP9" s="73" t="s">
        <v>224</v>
      </c>
      <c r="AQ9" s="74" t="s">
        <v>225</v>
      </c>
      <c r="AR9" s="50" t="s">
        <v>226</v>
      </c>
      <c r="AS9" s="50" t="s">
        <v>227</v>
      </c>
      <c r="AT9" s="50" t="s">
        <v>228</v>
      </c>
      <c r="AU9" s="50" t="s">
        <v>229</v>
      </c>
      <c r="AV9" s="73" t="s">
        <v>230</v>
      </c>
    </row>
    <row r="10" spans="1:48" s="32" customFormat="1" ht="13.15" customHeight="1">
      <c r="A10" s="51">
        <v>1</v>
      </c>
      <c r="B10" s="52" t="s">
        <v>231</v>
      </c>
      <c r="C10" s="53" t="s">
        <v>232</v>
      </c>
      <c r="D10" s="53">
        <v>43863</v>
      </c>
      <c r="E10" s="54">
        <v>3</v>
      </c>
      <c r="F10" s="517"/>
      <c r="G10" s="55"/>
      <c r="H10" s="56"/>
      <c r="I10" s="56"/>
      <c r="J10" s="64"/>
      <c r="K10" s="64"/>
      <c r="L10" s="64"/>
      <c r="M10" s="64"/>
      <c r="N10" s="64"/>
      <c r="O10" s="64"/>
      <c r="P10" s="65"/>
      <c r="Q10" s="65"/>
      <c r="R10" s="64"/>
      <c r="S10" s="64"/>
      <c r="T10" s="64"/>
      <c r="U10" s="64"/>
      <c r="V10" s="65"/>
      <c r="W10" s="65"/>
      <c r="X10" s="64"/>
      <c r="Y10" s="64"/>
      <c r="Z10" s="64"/>
      <c r="AA10" s="64"/>
      <c r="AB10" s="64"/>
      <c r="AC10" s="65"/>
      <c r="AD10" s="65"/>
      <c r="AE10" s="64"/>
      <c r="AF10" s="64"/>
      <c r="AG10" s="64"/>
      <c r="AH10" s="64"/>
      <c r="AI10" s="64"/>
      <c r="AJ10" s="65"/>
      <c r="AK10" s="65"/>
      <c r="AL10" s="64"/>
      <c r="AM10" s="64"/>
      <c r="AN10" s="64"/>
      <c r="AO10" s="64"/>
      <c r="AP10" s="75"/>
      <c r="AQ10" s="76"/>
      <c r="AR10" s="77"/>
      <c r="AS10" s="64"/>
      <c r="AT10" s="64"/>
      <c r="AU10" s="64"/>
      <c r="AV10" s="75"/>
    </row>
    <row r="11" spans="1:48" s="32" customFormat="1" ht="13.15" customHeight="1">
      <c r="A11" s="57">
        <v>2</v>
      </c>
      <c r="B11" s="52" t="s">
        <v>233</v>
      </c>
      <c r="C11" s="58">
        <v>43868</v>
      </c>
      <c r="D11" s="58">
        <v>43870</v>
      </c>
      <c r="E11" s="59">
        <v>3</v>
      </c>
      <c r="F11" s="517"/>
      <c r="G11" s="60"/>
      <c r="H11" s="61"/>
      <c r="I11" s="61"/>
      <c r="J11" s="66"/>
      <c r="K11" s="66"/>
      <c r="L11" s="66"/>
      <c r="M11" s="66"/>
      <c r="N11" s="67"/>
      <c r="O11" s="67"/>
      <c r="P11" s="67"/>
      <c r="Q11" s="61"/>
      <c r="R11" s="66"/>
      <c r="S11" s="66"/>
      <c r="T11" s="66"/>
      <c r="U11" s="66"/>
      <c r="V11" s="61"/>
      <c r="W11" s="61"/>
      <c r="X11" s="66"/>
      <c r="Y11" s="66"/>
      <c r="Z11" s="66"/>
      <c r="AA11" s="66"/>
      <c r="AB11" s="66"/>
      <c r="AC11" s="61"/>
      <c r="AD11" s="61"/>
      <c r="AE11" s="66"/>
      <c r="AF11" s="66"/>
      <c r="AG11" s="66"/>
      <c r="AH11" s="66"/>
      <c r="AI11" s="66"/>
      <c r="AJ11" s="61"/>
      <c r="AK11" s="61"/>
      <c r="AL11" s="66"/>
      <c r="AM11" s="66"/>
      <c r="AN11" s="66"/>
      <c r="AO11" s="66"/>
      <c r="AP11" s="78"/>
      <c r="AQ11" s="79"/>
      <c r="AR11" s="80"/>
      <c r="AS11" s="66"/>
      <c r="AT11" s="66"/>
      <c r="AU11" s="66"/>
      <c r="AV11" s="78"/>
    </row>
    <row r="12" spans="1:48" s="32" customFormat="1" ht="13.15" customHeight="1">
      <c r="A12" s="57">
        <v>3</v>
      </c>
      <c r="B12" s="52" t="s">
        <v>234</v>
      </c>
      <c r="C12" s="58">
        <v>43875</v>
      </c>
      <c r="D12" s="58">
        <v>43877</v>
      </c>
      <c r="E12" s="59">
        <v>3</v>
      </c>
      <c r="F12" s="517"/>
      <c r="G12" s="60"/>
      <c r="H12" s="61"/>
      <c r="I12" s="61"/>
      <c r="J12" s="61"/>
      <c r="K12" s="66"/>
      <c r="L12" s="66"/>
      <c r="M12" s="66"/>
      <c r="N12" s="61"/>
      <c r="O12" s="61"/>
      <c r="P12" s="61"/>
      <c r="Q12" s="61"/>
      <c r="R12" s="66"/>
      <c r="S12" s="66"/>
      <c r="T12" s="66"/>
      <c r="U12" s="68"/>
      <c r="V12" s="68"/>
      <c r="W12" s="68"/>
      <c r="X12" s="66"/>
      <c r="Y12" s="66"/>
      <c r="Z12" s="66"/>
      <c r="AA12" s="66"/>
      <c r="AB12" s="66"/>
      <c r="AC12" s="61"/>
      <c r="AD12" s="61"/>
      <c r="AE12" s="66"/>
      <c r="AF12" s="66"/>
      <c r="AG12" s="66"/>
      <c r="AH12" s="66"/>
      <c r="AI12" s="66"/>
      <c r="AJ12" s="61"/>
      <c r="AK12" s="61"/>
      <c r="AL12" s="66"/>
      <c r="AM12" s="66"/>
      <c r="AN12" s="66"/>
      <c r="AO12" s="66"/>
      <c r="AP12" s="78"/>
      <c r="AQ12" s="79"/>
      <c r="AR12" s="80"/>
      <c r="AS12" s="66"/>
      <c r="AT12" s="66"/>
      <c r="AU12" s="66"/>
      <c r="AV12" s="78"/>
    </row>
    <row r="13" spans="1:48" s="32" customFormat="1" ht="13.15" customHeight="1">
      <c r="A13" s="57">
        <v>4</v>
      </c>
      <c r="B13" s="52" t="s">
        <v>235</v>
      </c>
      <c r="C13" s="58">
        <v>43882</v>
      </c>
      <c r="D13" s="58">
        <v>43884</v>
      </c>
      <c r="E13" s="59">
        <v>3</v>
      </c>
      <c r="F13" s="517"/>
      <c r="G13" s="60"/>
      <c r="H13" s="61"/>
      <c r="I13" s="61"/>
      <c r="J13" s="61"/>
      <c r="K13" s="66"/>
      <c r="L13" s="66"/>
      <c r="M13" s="66"/>
      <c r="N13" s="61"/>
      <c r="O13" s="61"/>
      <c r="P13" s="61"/>
      <c r="Q13" s="61"/>
      <c r="R13" s="66"/>
      <c r="S13" s="66"/>
      <c r="T13" s="66"/>
      <c r="U13" s="66"/>
      <c r="V13" s="61"/>
      <c r="W13" s="61"/>
      <c r="X13" s="66"/>
      <c r="Y13" s="66"/>
      <c r="Z13" s="66"/>
      <c r="AA13" s="66"/>
      <c r="AB13" s="69"/>
      <c r="AC13" s="69"/>
      <c r="AD13" s="69"/>
      <c r="AE13" s="66"/>
      <c r="AF13" s="66"/>
      <c r="AG13" s="66"/>
      <c r="AH13" s="66"/>
      <c r="AI13" s="66"/>
      <c r="AJ13" s="61"/>
      <c r="AK13" s="61"/>
      <c r="AL13" s="66"/>
      <c r="AM13" s="66"/>
      <c r="AN13" s="66"/>
      <c r="AO13" s="66"/>
      <c r="AP13" s="78"/>
      <c r="AQ13" s="79"/>
      <c r="AR13" s="80"/>
      <c r="AS13" s="66"/>
      <c r="AT13" s="66"/>
      <c r="AU13" s="66"/>
      <c r="AV13" s="78"/>
    </row>
    <row r="14" spans="1:48" s="32" customFormat="1" ht="13.15" customHeight="1">
      <c r="A14" s="57">
        <v>5</v>
      </c>
      <c r="B14" s="62" t="s">
        <v>236</v>
      </c>
      <c r="C14" s="58">
        <v>43890</v>
      </c>
      <c r="D14" s="58">
        <v>43896</v>
      </c>
      <c r="E14" s="59">
        <v>7</v>
      </c>
      <c r="F14" s="517"/>
      <c r="G14" s="60"/>
      <c r="H14" s="61"/>
      <c r="I14" s="61"/>
      <c r="J14" s="61"/>
      <c r="K14" s="66"/>
      <c r="L14" s="66"/>
      <c r="M14" s="66"/>
      <c r="N14" s="61"/>
      <c r="O14" s="61"/>
      <c r="P14" s="61"/>
      <c r="Q14" s="61"/>
      <c r="R14" s="66"/>
      <c r="S14" s="66"/>
      <c r="T14" s="66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70"/>
      <c r="AK14" s="70"/>
      <c r="AL14" s="70"/>
      <c r="AM14" s="70"/>
      <c r="AN14" s="70"/>
      <c r="AO14" s="70"/>
      <c r="AP14" s="81"/>
      <c r="AQ14" s="79"/>
      <c r="AR14" s="80"/>
      <c r="AS14" s="66"/>
      <c r="AT14" s="66"/>
      <c r="AU14" s="66"/>
      <c r="AV14" s="78"/>
    </row>
    <row r="15" ht="15">
      <c r="B15" s="63"/>
    </row>
    <row r="16" ht="15">
      <c r="B16" s="63"/>
    </row>
    <row r="17" ht="15">
      <c r="B17" s="63"/>
    </row>
    <row r="18" ht="15">
      <c r="B18" s="63"/>
    </row>
    <row r="19" ht="15">
      <c r="B19" s="63"/>
    </row>
    <row r="20" ht="15">
      <c r="B20" s="63"/>
    </row>
    <row r="21" ht="15">
      <c r="B21" s="63"/>
    </row>
    <row r="22" spans="1:40" s="32" customFormat="1" ht="15">
      <c r="A22" s="34"/>
      <c r="B22" s="63"/>
      <c r="C22" s="36"/>
      <c r="D22" s="36"/>
      <c r="E22" s="37"/>
      <c r="F22" s="38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32" customFormat="1" ht="15">
      <c r="A23" s="34"/>
      <c r="B23" s="63"/>
      <c r="C23" s="36"/>
      <c r="D23" s="36"/>
      <c r="E23" s="37"/>
      <c r="F23" s="38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32" customFormat="1" ht="15">
      <c r="A24" s="34"/>
      <c r="B24" s="63"/>
      <c r="C24" s="36"/>
      <c r="D24" s="36"/>
      <c r="E24" s="37"/>
      <c r="F24" s="38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32" customFormat="1" ht="15">
      <c r="A25" s="34"/>
      <c r="B25" s="63"/>
      <c r="C25" s="36"/>
      <c r="D25" s="36"/>
      <c r="E25" s="37"/>
      <c r="F25" s="38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32" customFormat="1" ht="15">
      <c r="A26" s="34"/>
      <c r="B26" s="63"/>
      <c r="C26" s="36"/>
      <c r="D26" s="36"/>
      <c r="E26" s="37"/>
      <c r="F26" s="3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</sheetData>
  <mergeCells count="13">
    <mergeCell ref="A2:E2"/>
    <mergeCell ref="F2:I2"/>
    <mergeCell ref="A3:E3"/>
    <mergeCell ref="F3:I3"/>
    <mergeCell ref="A8:A9"/>
    <mergeCell ref="B8:B9"/>
    <mergeCell ref="C8:C9"/>
    <mergeCell ref="D8:D9"/>
    <mergeCell ref="E8:E9"/>
    <mergeCell ref="F7:F14"/>
    <mergeCell ref="A5:B6"/>
    <mergeCell ref="D5:F6"/>
    <mergeCell ref="G5:I6"/>
  </mergeCells>
  <conditionalFormatting sqref="G10:I10">
    <cfRule type="cellIs" priority="8" dxfId="0" operator="greaterThan">
      <formula>0</formula>
    </cfRule>
  </conditionalFormatting>
  <conditionalFormatting sqref="G11:I11">
    <cfRule type="cellIs" priority="7" dxfId="0" operator="greaterThan">
      <formula>0</formula>
    </cfRule>
  </conditionalFormatting>
  <conditionalFormatting sqref="G12:I12">
    <cfRule type="cellIs" priority="6" dxfId="0" operator="greaterThan">
      <formula>0</formula>
    </cfRule>
  </conditionalFormatting>
  <conditionalFormatting sqref="G13:I13">
    <cfRule type="cellIs" priority="5" dxfId="0" operator="greaterThan">
      <formula>0</formula>
    </cfRule>
  </conditionalFormatting>
  <conditionalFormatting sqref="G14:I14">
    <cfRule type="cellIs" priority="4" dxfId="0" operator="greaterThan">
      <formula>0</formula>
    </cfRule>
  </conditionalFormatting>
  <printOptions/>
  <pageMargins left="0.511811023622047" right="0.511811023622047" top="0.78740157480315" bottom="0.78740157480315" header="0.31496062992126" footer="0.31496062992126"/>
  <pageSetup fitToHeight="0" horizontalDpi="360" verticalDpi="360" orientation="landscape" paperSize="9" scale="37" r:id="rId2"/>
  <headerFooter>
    <oddHeader>&amp;C&amp;G
&amp;"-,Negrito"&amp;12GOVERNO DO ESTADO DO PARÁ
PREFEITURA MUNICIPAL DE SANTARÉM NOVO-PA
CNPJ: 05.149.182/0001-80</oddHeader>
    <oddFooter>&amp;CCNPJ n° 05.149.182/0001-80 – End: Rua Frei Daniel de Samarate, n° 128
Bairro: Centro – CEP: 68.720-000 – Santarém Novo – Pará
Fone: (91) 3484-1151 – E-mail: &amp;K0070C0prefeitura.santaremnovo@gmail.com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Notebook</cp:lastModifiedBy>
  <cp:lastPrinted>2021-04-13T17:09:17Z</cp:lastPrinted>
  <dcterms:created xsi:type="dcterms:W3CDTF">2019-12-19T14:56:00Z</dcterms:created>
  <dcterms:modified xsi:type="dcterms:W3CDTF">2021-04-30T17:33:00Z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